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08hx7Qin0eToC07dTAjutwPUOunVyP/KOrzDmdIFHyxQlNwihTpVMpCPEYettb60wyEs8nRVneXm5tibWGXMQ==" workbookSaltValue="JOpnzXXjW8oiuA9PAzME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I13" i="14"/>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A32" i="20"/>
  <c r="AN32" i="20"/>
  <c r="AD32" i="20"/>
  <c r="AC32" i="20"/>
  <c r="AV32" i="20"/>
  <c r="O10" i="11"/>
  <c r="AP32" i="20"/>
  <c r="U17" i="11"/>
  <c r="W32" i="21"/>
  <c r="AQ32" i="20"/>
  <c r="P32" i="20"/>
  <c r="AB32" i="20"/>
  <c r="N32" i="20"/>
  <c r="AO32" i="20"/>
  <c r="AL32" i="20"/>
  <c r="AH32" i="20"/>
  <c r="X32" i="20"/>
  <c r="T32" i="20"/>
  <c r="K17" i="12" l="1"/>
  <c r="BF23" i="13"/>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J23" i="11" s="1"/>
  <c r="BL17" i="11"/>
  <c r="BH22" i="11"/>
  <c r="X12" i="17"/>
  <c r="X22" i="16"/>
  <c r="L12" i="2"/>
  <c r="X10" i="21"/>
  <c r="L20" i="2"/>
  <c r="V10" i="16"/>
  <c r="V9" i="16"/>
  <c r="X13" i="16"/>
  <c r="BW21" i="20"/>
  <c r="AZ17" i="11"/>
  <c r="BI20" i="11"/>
  <c r="BL28" i="11"/>
  <c r="BH10" i="16"/>
  <c r="S18" i="17"/>
  <c r="BH12" i="16"/>
  <c r="BK22" i="11"/>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AQ17" i="11"/>
  <c r="P12" i="11"/>
  <c r="Q9" i="11"/>
  <c r="Q13" i="11"/>
  <c r="P21" i="11"/>
  <c r="P29" i="11"/>
  <c r="BK14" i="11"/>
  <c r="BF23" i="11"/>
  <c r="P18" i="11"/>
  <c r="Q16" i="11"/>
  <c r="S23" i="16"/>
  <c r="S31" i="16" s="1"/>
  <c r="BU33" i="17"/>
  <c r="AA31" i="11"/>
  <c r="P9" i="11"/>
  <c r="BL23" i="11"/>
  <c r="P16" i="11"/>
  <c r="P20"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<sst xmlns="http://schemas.openxmlformats.org/spreadsheetml/2006/main" count="2682" uniqueCount="1193">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</sst>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SfT4owW5+iy4luzUDfx2PPnd03B10Qs+b2aOPXBm7tiVGm8zaKPcJoggbxhtuKMOskpmmKKKVxhT0QaFGd15g==" saltValue="ud89Ysco9HLbw/ZGqGlf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33.239130434782609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71</v>
      </c>
      <c r="D17" s="239">
        <f>IF(ISNUMBER(IF(D_I="SI",Datos!I17,Datos!I17+Datos!AC17)),IF(D_I="SI",Datos!I17,Datos!I17+Datos!AC17)," - ")</f>
        <v>68</v>
      </c>
      <c r="E17" s="240">
        <f>IF(ISNUMBER(IF(D_I="SI",Datos!J17,Datos!J17+Datos!AD17)),IF(D_I="SI",Datos!J17,Datos!J17+Datos!AD17)," - ")</f>
        <v>46</v>
      </c>
      <c r="F17" s="240">
        <f>IF(ISNUMBER(IF(D_I="SI",Datos!K17,Datos!K17+Datos!AE17)),IF(D_I="SI",Datos!K17,Datos!K17+Datos!AE17)," - ")</f>
        <v>46</v>
      </c>
      <c r="G17" s="1390" t="str">
        <f>IF(Datos!E17&lt;&gt;"",Datos!E17,Datos!D17)</f>
        <v>04</v>
      </c>
      <c r="H17" s="241">
        <f>IF(ISNUMBER(IF(D_I="SI",Datos!L17,Datos!L17+Datos!AF17)),IF(D_I="SI",Datos!L17,Datos!L17+Datos!AF17)," - ")</f>
        <v>71</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16.978260869565219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2</v>
      </c>
      <c r="F18" s="240">
        <f>IF(ISNUMBER(IF(D_I="SI",Datos!K18,Datos!K18+Datos!AE18)),IF(D_I="SI",Datos!K18,Datos!K18+Datos!AE18)," - ")</f>
        <v>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v>
      </c>
      <c r="D23" s="1407">
        <f>SUBTOTAL(9,D16:D22)</f>
        <v>70</v>
      </c>
      <c r="E23" s="1408">
        <f>SUBTOTAL(9,E16:E22)</f>
        <v>48</v>
      </c>
      <c r="F23" s="1408">
        <f>SUBTOTAL(9,F16:F22)</f>
        <v>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73</v>
      </c>
      <c r="D31" s="1435">
        <f>SUBTOTAL(9,D9:D30)</f>
        <v>70</v>
      </c>
      <c r="E31" s="1436">
        <f>SUBTOTAL(9,E9:E30)</f>
        <v>48</v>
      </c>
      <c r="F31" s="1436">
        <f>SUBTOTAL(9,F9:F30)</f>
        <v>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6mOqk3qEOa6y5v9tRWDtHoYy0VheXJTRJexQQ4fJB/CkkV7Tygi8ZnKQW0DDCkQ/rvv3FCIp6C+1VwWEbUpVw==" saltValue="YSrmK3sbedg/3k4y/rnE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cZZS1rGc5DqQxZ/75i8fBLnUR6kDXOsiTaDNo50jN0BDZRznITxa97le+zqtJ3eeGQMXxD5zfDq6jCIkEzdgg==" saltValue="L2Qb7VawsfdHLn7uLW8t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v>
      </c>
      <c r="J12" s="196">
        <v>50</v>
      </c>
      <c r="K12" s="196">
        <v>41</v>
      </c>
      <c r="L12" s="196">
        <v>138</v>
      </c>
      <c r="M12" s="196">
        <v>7</v>
      </c>
      <c r="N12" s="196">
        <v>22</v>
      </c>
      <c r="O12" s="194">
        <v>33</v>
      </c>
      <c r="P12" s="196">
        <v>19</v>
      </c>
      <c r="Q12" s="196">
        <v>17</v>
      </c>
      <c r="R12" s="196">
        <v>418</v>
      </c>
      <c r="S12" s="196">
        <v>83</v>
      </c>
      <c r="T12" s="196">
        <v>46</v>
      </c>
      <c r="U12" s="196">
        <v>31</v>
      </c>
      <c r="V12" s="196">
        <v>98</v>
      </c>
      <c r="W12" s="196">
        <v>11</v>
      </c>
      <c r="X12" s="202">
        <v>12</v>
      </c>
      <c r="Y12" s="204">
        <v>2</v>
      </c>
      <c r="Z12" s="194">
        <v>4</v>
      </c>
      <c r="AA12" s="194">
        <v>5</v>
      </c>
      <c r="AB12" s="194">
        <v>1</v>
      </c>
      <c r="AC12" s="196">
        <v>0</v>
      </c>
      <c r="AD12" s="196">
        <v>0</v>
      </c>
      <c r="AE12" s="196">
        <v>0</v>
      </c>
      <c r="AF12" s="202">
        <v>0</v>
      </c>
      <c r="AG12" s="215">
        <v>3</v>
      </c>
      <c r="AH12" s="196">
        <v>2</v>
      </c>
      <c r="AI12" s="196">
        <v>3</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86</v>
      </c>
      <c r="AZ12" s="137">
        <f t="shared" si="1"/>
        <v>48</v>
      </c>
      <c r="BA12" s="137">
        <f t="shared" si="1"/>
        <v>34</v>
      </c>
      <c r="BB12" s="137">
        <f t="shared" si="1"/>
        <v>100</v>
      </c>
      <c r="BC12" s="135">
        <f>IF(ISNUMBER(X12),X12," - ")</f>
        <v>12</v>
      </c>
      <c r="BD12" s="136">
        <f t="shared" si="2"/>
        <v>0.70833333333333337</v>
      </c>
      <c r="BE12" s="137">
        <f t="shared" si="3"/>
        <v>2.9411764705882355</v>
      </c>
      <c r="BF12" s="137">
        <f t="shared" si="4"/>
        <v>0.35294117647058826</v>
      </c>
      <c r="BG12" s="209">
        <f t="shared" si="5"/>
        <v>3.9411764705882355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v>
      </c>
      <c r="J14" s="197">
        <f t="shared" si="7"/>
        <v>50</v>
      </c>
      <c r="K14" s="197">
        <f t="shared" si="7"/>
        <v>41</v>
      </c>
      <c r="L14" s="197">
        <f t="shared" si="7"/>
        <v>138</v>
      </c>
      <c r="M14" s="197">
        <f t="shared" si="7"/>
        <v>7</v>
      </c>
      <c r="N14" s="197">
        <f t="shared" si="7"/>
        <v>22</v>
      </c>
      <c r="O14" s="197">
        <f t="shared" si="7"/>
        <v>33</v>
      </c>
      <c r="P14" s="197">
        <f t="shared" si="7"/>
        <v>19</v>
      </c>
      <c r="Q14" s="197">
        <f t="shared" si="7"/>
        <v>17</v>
      </c>
      <c r="R14" s="197">
        <f t="shared" si="7"/>
        <v>418</v>
      </c>
      <c r="S14" s="197">
        <f t="shared" si="7"/>
        <v>83</v>
      </c>
      <c r="T14" s="197">
        <f t="shared" si="7"/>
        <v>46</v>
      </c>
      <c r="U14" s="197">
        <f t="shared" si="7"/>
        <v>31</v>
      </c>
      <c r="V14" s="197">
        <f t="shared" si="7"/>
        <v>98</v>
      </c>
      <c r="W14" s="197">
        <f t="shared" si="7"/>
        <v>11</v>
      </c>
      <c r="X14" s="197">
        <f t="shared" si="7"/>
        <v>12</v>
      </c>
      <c r="Y14" s="197">
        <f t="shared" si="7"/>
        <v>2</v>
      </c>
      <c r="Z14" s="197">
        <f t="shared" si="7"/>
        <v>4</v>
      </c>
      <c r="AA14" s="197">
        <f t="shared" si="7"/>
        <v>5</v>
      </c>
      <c r="AB14" s="197">
        <f t="shared" si="7"/>
        <v>1</v>
      </c>
      <c r="AC14" s="197">
        <f t="shared" si="7"/>
        <v>0</v>
      </c>
      <c r="AD14" s="197">
        <f t="shared" si="7"/>
        <v>0</v>
      </c>
      <c r="AE14" s="197">
        <f t="shared" si="7"/>
        <v>0</v>
      </c>
      <c r="AF14" s="197">
        <f>SUBTOTAL(9,AF9:AF13)</f>
        <v>0</v>
      </c>
      <c r="AG14" s="197">
        <f t="shared" ref="AG14:AT14" si="8">SUBTOTAL(9,AG8:AG13)</f>
        <v>3</v>
      </c>
      <c r="AH14" s="197">
        <f t="shared" si="8"/>
        <v>2</v>
      </c>
      <c r="AI14" s="197">
        <f t="shared" si="8"/>
        <v>3</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86</v>
      </c>
      <c r="AZ14" s="197">
        <f>SUBTOTAL(9,AZ8:AZ13)</f>
        <v>48</v>
      </c>
      <c r="BA14" s="197">
        <f>SUBTOTAL(9,BA8:BA13)</f>
        <v>34</v>
      </c>
      <c r="BB14" s="197">
        <f>SUBTOTAL(9,BB8:BB13)</f>
        <v>100</v>
      </c>
      <c r="BC14" s="197">
        <f>SUBTOTAL(9,BC8:BC13)</f>
        <v>12</v>
      </c>
      <c r="BD14" s="219">
        <f>IF(ISNUMBER(BA14/AZ14),BA14/AZ14," - ")</f>
        <v>0.70833333333333337</v>
      </c>
      <c r="BE14" s="220">
        <f>IF(ISNUMBER(BB14/BA14),BB14/BA14, " - ")</f>
        <v>2.9411764705882355</v>
      </c>
      <c r="BF14" s="220">
        <f>IF(ISNUMBER(BC14/BA14),BC14/BA14, " - ")</f>
        <v>0.35294117647058826</v>
      </c>
      <c r="BG14" s="221">
        <f>IF(ISNUMBER((AY14+AZ14)/BA14),(AY14+AZ14)/BA14," - ")</f>
        <v>3.9411764705882355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v>
      </c>
      <c r="J17" s="196">
        <v>46</v>
      </c>
      <c r="K17" s="196">
        <v>46</v>
      </c>
      <c r="L17" s="196">
        <v>71</v>
      </c>
      <c r="M17" s="196">
        <v>5</v>
      </c>
      <c r="N17" s="196">
        <v>29</v>
      </c>
      <c r="O17" s="194">
        <v>1</v>
      </c>
      <c r="P17" s="196">
        <v>1</v>
      </c>
      <c r="Q17" s="196">
        <v>3</v>
      </c>
      <c r="R17" s="196">
        <v>8</v>
      </c>
      <c r="S17" s="196">
        <v>49</v>
      </c>
      <c r="T17" s="196">
        <v>75</v>
      </c>
      <c r="U17" s="196">
        <v>67</v>
      </c>
      <c r="V17" s="196">
        <v>62</v>
      </c>
      <c r="W17" s="196">
        <v>6</v>
      </c>
      <c r="X17" s="202">
        <v>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49</v>
      </c>
      <c r="AZ17" s="137">
        <f t="shared" si="10"/>
        <v>75</v>
      </c>
      <c r="BA17" s="137">
        <f t="shared" si="10"/>
        <v>67</v>
      </c>
      <c r="BB17" s="137">
        <f t="shared" si="10"/>
        <v>62</v>
      </c>
      <c r="BC17" s="135">
        <f>IF(ISNUMBER(W17),W17," - ")</f>
        <v>6</v>
      </c>
      <c r="BD17" s="136">
        <f t="shared" ref="BD17:BD22" si="12">IF(ISNUMBER(BA17/AZ17),BA17/AZ17," - ")</f>
        <v>0.89333333333333331</v>
      </c>
      <c r="BE17" s="137">
        <f t="shared" ref="BE17:BE22" si="13">IF(ISNUMBER(BB17/BA17),BB17/BA17, " - ")</f>
        <v>0.92537313432835822</v>
      </c>
      <c r="BF17" s="137">
        <f t="shared" ref="BF17:BF22" si="14">IF(ISNUMBER(BC17/BA17),BC17/BA17, " - ")</f>
        <v>8.9552238805970144E-2</v>
      </c>
      <c r="BG17" s="209">
        <f t="shared" si="11"/>
        <v>1.8507462686567164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2</v>
      </c>
      <c r="K18" s="196">
        <v>3</v>
      </c>
      <c r="L18" s="196">
        <v>1</v>
      </c>
      <c r="M18" s="196">
        <v>2</v>
      </c>
      <c r="N18" s="196">
        <v>0</v>
      </c>
      <c r="O18" s="196">
        <v>0</v>
      </c>
      <c r="P18" s="196">
        <v>0</v>
      </c>
      <c r="Q18" s="196">
        <v>0</v>
      </c>
      <c r="R18" s="196">
        <v>0</v>
      </c>
      <c r="S18" s="196">
        <v>9</v>
      </c>
      <c r="T18" s="196">
        <v>12</v>
      </c>
      <c r="U18" s="196">
        <v>11</v>
      </c>
      <c r="V18" s="196">
        <v>10</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12</v>
      </c>
      <c r="BA18" s="139">
        <f t="shared" si="15"/>
        <v>11</v>
      </c>
      <c r="BB18" s="139">
        <f t="shared" si="15"/>
        <v>10</v>
      </c>
      <c r="BC18" s="135">
        <f>IF(ISNUMBER(W18),W18," - ")</f>
        <v>3</v>
      </c>
      <c r="BD18" s="136">
        <f>IF(ISNUMBER(BA18/AZ18),BA18/AZ18," - ")</f>
        <v>0.91666666666666663</v>
      </c>
      <c r="BE18" s="137">
        <f>IF(ISNUMBER(BB18/BA18),BB18/BA18, " - ")</f>
        <v>0.90909090909090906</v>
      </c>
      <c r="BF18" s="137">
        <f>IF(ISNUMBER(BC18/BA18),BC18/BA18, " - ")</f>
        <v>0.27272727272727271</v>
      </c>
      <c r="BG18" s="209">
        <f>IF(ISNUMBER((AY18+AZ18)/BA18),(AY18+AZ18)/BA18," - ")</f>
        <v>1.9090909090909092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v>
      </c>
      <c r="J23" s="197">
        <f t="shared" si="21"/>
        <v>48</v>
      </c>
      <c r="K23" s="197">
        <f t="shared" si="21"/>
        <v>49</v>
      </c>
      <c r="L23" s="197">
        <f t="shared" si="21"/>
        <v>72</v>
      </c>
      <c r="M23" s="197">
        <f t="shared" si="21"/>
        <v>7</v>
      </c>
      <c r="N23" s="197">
        <f t="shared" si="21"/>
        <v>29</v>
      </c>
      <c r="O23" s="197">
        <f t="shared" si="21"/>
        <v>1</v>
      </c>
      <c r="P23" s="197">
        <f t="shared" si="21"/>
        <v>1</v>
      </c>
      <c r="Q23" s="197">
        <f t="shared" si="21"/>
        <v>3</v>
      </c>
      <c r="R23" s="197">
        <f t="shared" si="21"/>
        <v>8</v>
      </c>
      <c r="S23" s="197">
        <f t="shared" si="21"/>
        <v>58</v>
      </c>
      <c r="T23" s="197">
        <f t="shared" si="21"/>
        <v>87</v>
      </c>
      <c r="U23" s="197">
        <f t="shared" si="21"/>
        <v>78</v>
      </c>
      <c r="V23" s="197">
        <f t="shared" si="21"/>
        <v>72</v>
      </c>
      <c r="W23" s="197">
        <f t="shared" si="21"/>
        <v>9</v>
      </c>
      <c r="X23" s="197">
        <f t="shared" si="21"/>
        <v>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58</v>
      </c>
      <c r="AZ23" s="197">
        <f>SUBTOTAL(9,AZ15:AZ22)</f>
        <v>87</v>
      </c>
      <c r="BA23" s="197">
        <f>SUBTOTAL(9,BA15:BA22)</f>
        <v>78</v>
      </c>
      <c r="BB23" s="197">
        <f>SUBTOTAL(9,BB15:BB22)</f>
        <v>72</v>
      </c>
      <c r="BC23" s="197">
        <f>SUBTOTAL(9,BC15:BC22)</f>
        <v>9</v>
      </c>
      <c r="BD23" s="219">
        <f>IF(ISNUMBER(BA23/AZ23),BA23/AZ23," - ")</f>
        <v>0.89655172413793105</v>
      </c>
      <c r="BE23" s="220">
        <f>IF(ISNUMBER(BB23/BA23),BB23/BA23, " - ")</f>
        <v>0.92307692307692313</v>
      </c>
      <c r="BF23" s="220">
        <f>IF(ISNUMBER(BC23/BA23),BC23/BA23, " - ")</f>
        <v>0.11538461538461539</v>
      </c>
      <c r="BG23" s="221">
        <f>IF(ISNUMBER((AY23+AZ23)/BA23),(AY23+AZ23)/BA23," - ")</f>
        <v>1.858974358974359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v>
      </c>
      <c r="J31" s="144">
        <f t="shared" si="36"/>
        <v>98</v>
      </c>
      <c r="K31" s="144">
        <f t="shared" si="36"/>
        <v>90</v>
      </c>
      <c r="L31" s="144">
        <f t="shared" si="36"/>
        <v>210</v>
      </c>
      <c r="M31" s="144">
        <f t="shared" si="36"/>
        <v>14</v>
      </c>
      <c r="N31" s="144">
        <f t="shared" si="36"/>
        <v>51</v>
      </c>
      <c r="O31" s="144">
        <f t="shared" si="36"/>
        <v>34</v>
      </c>
      <c r="P31" s="144">
        <f t="shared" si="36"/>
        <v>20</v>
      </c>
      <c r="Q31" s="144">
        <f t="shared" si="36"/>
        <v>20</v>
      </c>
      <c r="R31" s="144">
        <f t="shared" si="36"/>
        <v>426</v>
      </c>
      <c r="S31" s="144">
        <f t="shared" si="36"/>
        <v>141</v>
      </c>
      <c r="T31" s="144">
        <f t="shared" si="36"/>
        <v>133</v>
      </c>
      <c r="U31" s="144">
        <f t="shared" si="36"/>
        <v>109</v>
      </c>
      <c r="V31" s="144">
        <f t="shared" si="36"/>
        <v>170</v>
      </c>
      <c r="W31" s="144">
        <f t="shared" si="36"/>
        <v>20</v>
      </c>
      <c r="X31" s="144">
        <f t="shared" si="36"/>
        <v>65</v>
      </c>
      <c r="Y31" s="144">
        <f t="shared" si="36"/>
        <v>2</v>
      </c>
      <c r="Z31" s="144">
        <f t="shared" si="36"/>
        <v>4</v>
      </c>
      <c r="AA31" s="144">
        <f t="shared" si="36"/>
        <v>5</v>
      </c>
      <c r="AB31" s="144">
        <f t="shared" si="36"/>
        <v>1</v>
      </c>
      <c r="AC31" s="144">
        <f t="shared" si="36"/>
        <v>0</v>
      </c>
      <c r="AD31" s="144">
        <f t="shared" si="36"/>
        <v>0</v>
      </c>
      <c r="AE31" s="144">
        <f t="shared" si="36"/>
        <v>0</v>
      </c>
      <c r="AF31" s="144">
        <f t="shared" si="36"/>
        <v>0</v>
      </c>
      <c r="AG31" s="144">
        <f t="shared" si="36"/>
        <v>3</v>
      </c>
      <c r="AH31" s="144">
        <f t="shared" si="36"/>
        <v>2</v>
      </c>
      <c r="AI31" s="144">
        <f t="shared" si="36"/>
        <v>3</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144</v>
      </c>
      <c r="AZ31" s="144">
        <f>SUBTOTAL(9,AZ9:AZ30)</f>
        <v>135</v>
      </c>
      <c r="BA31" s="144">
        <f>SUBTOTAL(9,BA9:BA30)</f>
        <v>112</v>
      </c>
      <c r="BB31" s="144">
        <f>SUBTOTAL(9,BB9:BB30)</f>
        <v>172</v>
      </c>
      <c r="BC31" s="145">
        <f>SUBTOTAL(9,BC9:BC30)</f>
        <v>21</v>
      </c>
      <c r="BD31" s="227">
        <f>IF(ISNUMBER(BA31/AZ31),BA31/AZ31," - ")</f>
        <v>0.82962962962962961</v>
      </c>
      <c r="BE31" s="224">
        <f>IF(ISNUMBER(BB31/BA31),BB31/BA31, " - ")</f>
        <v>1.5357142857142858</v>
      </c>
      <c r="BF31" s="224">
        <f>IF(ISNUMBER(BC31/BA31),BC31/BA31, " - ")</f>
        <v>0.1875</v>
      </c>
      <c r="BG31" s="145">
        <f>IF(ISNUMBER((AY31+AZ31)/BA31),(AY31+AZ31)/BA31," - ")</f>
        <v>2.4910714285714284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5nW1Rbs2RkFeBy9gXIEy156n/g7b/gdKJ3uJvvWEr0jE4WAwmoIBXMUJ9ddCjRbY+4bi+g8G6yfYJfmLdDw==" saltValue="76Aq6vX2fz5NKGlj3y+s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qnKhxx/aZ7NXlvC+QzQ9KlwhML4sZE4UnE+BefW8iz2P03M/wFr2ic3GPoNUC9x5DzUJxkT5x7ywhfvQ8O7g==" saltValue="rL0+bP1ZPcRs3gjmk16h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FREGENAL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v>
      </c>
      <c r="BD12" s="693">
        <f>IF(ISNUMBER(Datos!N12),Datos!N12," - ")</f>
        <v>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0.85185185185185186</v>
      </c>
      <c r="BH12" s="764">
        <f>IF(ISNUMBER(((IF(J_V="SI",Datos!L12/Datos!K12,(Datos!L12+Datos!AB12)/(Datos!K12+Datos!AA12)))*11)/factor_trimestre),((IF(J_V="SI",Datos!L12/Datos!K12,(Datos!L12+Datos!AB12)/(Datos!K12+Datos!AA12)))*11)/factor_trimestre," - ")</f>
        <v>6.0434782608695654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4.807692307692308E-3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418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v>
      </c>
      <c r="BD14" s="1198">
        <f t="shared" si="2"/>
        <v>22</v>
      </c>
      <c r="BE14" s="1198">
        <f t="shared" si="2"/>
        <v>0</v>
      </c>
      <c r="BF14" s="1198">
        <f t="shared" si="2"/>
        <v>0</v>
      </c>
      <c r="BG14" s="1198">
        <f>IF(ISNUMBER(Datos!K14/Datos!J14),Datos!K14/Datos!J14," - ")</f>
        <v>0.82</v>
      </c>
      <c r="BH14" s="1202">
        <f>IF(ISNUMBER(((Datos!L14/Datos!K14)*11)/factor_trimestre),((Datos!L14/Datos!K14)*11)/factor_trimestre," - ")</f>
        <v>6.7317073170731705</v>
      </c>
      <c r="BI14" s="1198">
        <f>IF(ISNUMBER('Resol  Asuntos'!D14/NºAsuntos!G14),'Resol  Asuntos'!D14/NºAsuntos!G14," - ")</f>
        <v>0.15217391304347827</v>
      </c>
      <c r="BJ14" s="1198" t="str">
        <f>IF(ISNUMBER(Datos!CI14/Datos!CJ14),Datos!CI14/Datos!CJ14," - ")</f>
        <v xml:space="preserve"> - </v>
      </c>
      <c r="BK14" s="1198">
        <f>SUBTOTAL(9,BK8:BK13)</f>
        <v>0</v>
      </c>
      <c r="BL14" s="1198" t="str">
        <f>IF(ISNUMBER((I14-AB14+L14)/(F14)),(I14-AB14+L14)/(F14)," - ")</f>
        <v xml:space="preserve"> - </v>
      </c>
      <c r="BM14" s="1203">
        <f>SUBTOTAL(9,BM9:BM13)</f>
        <v>4.807692307692308E-3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71</v>
      </c>
      <c r="G17" s="743">
        <f>IF(ISNUMBER(IF(D_I="SI",Datos!I17,Datos!I17+Datos!AC17)),IF(D_I="SI",Datos!I17,Datos!I17+Datos!AC17)," - ")</f>
        <v>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v>
      </c>
      <c r="AC17" s="240">
        <f>IF(ISNUMBER(Datos!Q17),Datos!Q17," - ")</f>
        <v>3</v>
      </c>
      <c r="AD17" s="374"/>
      <c r="AE17" s="562"/>
      <c r="AF17" s="741">
        <f>IF(ISNUMBER(IF(D_I="SI",Datos!L17,Datos!L17+Datos!AF17)),IF(D_I="SI",Datos!L17,Datos!L17+Datos!AF17)," - ")</f>
        <v>71</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v>
      </c>
      <c r="BD17" s="243">
        <f>IF(ISNUMBER(Datos!N17),Datos!N17," - ")</f>
        <v>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3.0869565217391308</v>
      </c>
      <c r="BI17" s="266">
        <f>IF(ISNUMBER('Resol  Asuntos'!D17/NºAsuntos!G17),'Resol  Asuntos'!D17/NºAsuntos!G17," - ")</f>
        <v>0.10869565217391304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0.66666666666666663</v>
      </c>
      <c r="BI18" s="763">
        <f>IF(ISNUMBER('Resol  Asuntos'!D18/NºAsuntos!G18),'Resol  Asuntos'!D18/NºAsuntos!G18," - ")</f>
        <v>0.66666666666666663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71</v>
      </c>
      <c r="G23" s="1197">
        <f>SUBTOTAL(9,G16:G22)</f>
        <v>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v>
      </c>
      <c r="AC23" s="1198">
        <f t="shared" si="5"/>
        <v>3</v>
      </c>
      <c r="AD23" s="1198">
        <f t="shared" si="5"/>
        <v>0</v>
      </c>
      <c r="AE23" s="1198">
        <f t="shared" si="5"/>
        <v>0</v>
      </c>
      <c r="AF23" s="1198">
        <f t="shared" si="5"/>
        <v>72</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29</v>
      </c>
      <c r="BE23" s="1198">
        <f t="shared" si="5"/>
        <v>0</v>
      </c>
      <c r="BF23" s="1198">
        <f t="shared" si="5"/>
        <v>0</v>
      </c>
      <c r="BG23" s="1198">
        <f>IF(ISNUMBER(Datos!K23/Datos!J23),Datos!K23/Datos!J23," - ")</f>
        <v>1.0208333333333333</v>
      </c>
      <c r="BH23" s="1202">
        <f>IF(ISNUMBER(((Datos!L23/Datos!K23)*11)/factor_trimestre),((Datos!L23/Datos!K23)*11)/factor_trimestre," - ")</f>
        <v>2.9387755102040818</v>
      </c>
      <c r="BI23" s="1198">
        <f>SUBTOTAL(9,BI16:BI22)</f>
        <v>0.77536231884057971</v>
      </c>
      <c r="BJ23" s="1198">
        <f>SUBTOTAL(9,BJ16:BJ22)</f>
        <v>0</v>
      </c>
      <c r="BK23" s="1198">
        <f>SUBTOTAL(9,BK16:BK22)</f>
        <v>0</v>
      </c>
      <c r="BL23" s="1198">
        <f>IF(ISNUMBER((I23-AB23+L23)/(F23)),(I23-AB23+L23)/(F23)," - ")</f>
        <v>-0.6901408450704225</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71</v>
      </c>
      <c r="G31" s="1117">
        <f t="shared" si="18"/>
        <v>70</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v>
      </c>
      <c r="AC31" s="1118">
        <f t="shared" si="19"/>
        <v>20</v>
      </c>
      <c r="AD31" s="1118">
        <f t="shared" si="19"/>
        <v>0</v>
      </c>
      <c r="AE31" s="1118">
        <f t="shared" si="19"/>
        <v>0</v>
      </c>
      <c r="AF31" s="1125">
        <f t="shared" si="19"/>
        <v>72</v>
      </c>
      <c r="AG31" s="1125">
        <f t="shared" si="19"/>
        <v>0</v>
      </c>
      <c r="AH31" s="1125">
        <f t="shared" si="19"/>
        <v>1</v>
      </c>
      <c r="AI31" s="1125">
        <f t="shared" si="19"/>
        <v>0</v>
      </c>
      <c r="AJ31" s="1118">
        <f t="shared" si="19"/>
        <v>0</v>
      </c>
      <c r="AK31" s="1125">
        <f t="shared" si="19"/>
        <v>0</v>
      </c>
      <c r="AL31" s="1125">
        <f t="shared" si="19"/>
        <v>0</v>
      </c>
      <c r="AM31" s="1125">
        <f t="shared" si="19"/>
        <v>426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v>
      </c>
      <c r="BD31" s="1117">
        <f t="shared" si="19"/>
        <v>51</v>
      </c>
      <c r="BE31" s="1117">
        <f t="shared" si="19"/>
        <v>0</v>
      </c>
      <c r="BF31" s="1127">
        <f t="shared" si="19"/>
        <v>0</v>
      </c>
      <c r="BG31" s="1223">
        <f>IF(ISNUMBER(Datos!K31/Datos!J31),Datos!K31/Datos!J31," - ")</f>
        <v>0.91836734693877553</v>
      </c>
      <c r="BH31" s="1223">
        <f>IF(ISNUMBER(((Datos!L31/Datos!K31)*11)/factor_trimestre),((Datos!L31/Datos!K31)*11)/factor_trimestre," - ")</f>
        <v>4.666666666666667</v>
      </c>
      <c r="BI31" s="1103">
        <f>IF(ISNUMBER(Datos!J31/Datos!I31),Datos!J31/Datos!I31," - ")</f>
        <v>0.49246231155778897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-0.6901408450704225</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36.664242344096884</v>
      </c>
      <c r="G33" s="674">
        <f>IF(ISNUMBER(STDEV(G8:G30)),STDEV(G8:G30),"-")</f>
        <v>33.48631561299829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22.927421718690191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3.3380918415851206</v>
      </c>
      <c r="BD33" s="673"/>
      <c r="BE33" s="673">
        <f>IF(ISNUMBER(STDEV(BE8:BE30)),STDEV(BE8:BE30),"-")</f>
        <v>0</v>
      </c>
      <c r="BF33" s="678">
        <f>IF(ISNUMBER(STDEV(BF8:BF30)),STDEV(BF8:BF30),"-")</f>
        <v>0</v>
      </c>
      <c r="BG33" s="1052">
        <f>IF(ISNUMBER(STDEV(BG8:BG30)),STDEV(BG8:BG30),"-")</f>
        <v>0.27265196930314622</v>
      </c>
      <c r="BH33" s="1058">
        <f>IF(ISNUMBER(STDEV(BH8:BH30)),STDEV(BH8:BH30),"-")</f>
        <v>2.482553719979248</v>
      </c>
      <c r="BI33" s="273">
        <f>IF(ISNUMBER(STDEV(BI8:BI30)),STDEV(BI8:BI30),"-")</f>
        <v>0.34430458706390765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iw8na8aV8RD0e8tmogcGtBaYYX5w7Q55QzABnMV7PjQLWEuFfHuOJK3KNYeco12UkGX2fQSGBXeZ9ZWwQ0zyw==" saltValue="FckacLo500kkZnaMjtXU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FREGENAL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418</v>
      </c>
      <c r="AF12" s="693" t="str">
        <f>IF(ISNUMBER(Datos!BV12),Datos!BV12," - ")</f>
        <v xml:space="preserve"> - </v>
      </c>
      <c r="AG12" s="552" t="str">
        <f>IF(ISNUMBER(Datos!DV12),Datos!DV12," - ")</f>
        <v xml:space="preserve"> - </v>
      </c>
      <c r="AH12" s="553"/>
      <c r="AI12" s="554"/>
      <c r="AJ12" s="552">
        <f>IF(ISNUMBER(Datos!M12),Datos!M12," - ")</f>
        <v>7</v>
      </c>
      <c r="AK12" s="693">
        <f>IF(ISNUMBER(Datos!N12),Datos!N12," - ")</f>
        <v>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6.0434782608695654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4.807692307692308E-3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0</v>
      </c>
      <c r="AB14" s="1199">
        <f t="shared" si="3"/>
        <v>0</v>
      </c>
      <c r="AC14" s="1199">
        <f t="shared" si="3"/>
        <v>0</v>
      </c>
      <c r="AD14" s="1199">
        <f t="shared" si="3"/>
        <v>0</v>
      </c>
      <c r="AE14" s="1199">
        <f t="shared" si="3"/>
        <v>418</v>
      </c>
      <c r="AF14" s="1211">
        <f t="shared" si="3"/>
        <v>0</v>
      </c>
      <c r="AG14" s="1211">
        <f t="shared" si="3"/>
        <v>0</v>
      </c>
      <c r="AH14" s="1211">
        <f t="shared" si="3"/>
        <v>0</v>
      </c>
      <c r="AI14" s="1211">
        <f t="shared" si="3"/>
        <v>0</v>
      </c>
      <c r="AJ14" s="1211">
        <f t="shared" si="3"/>
        <v>7</v>
      </c>
      <c r="AK14" s="1211">
        <f t="shared" si="3"/>
        <v>22</v>
      </c>
      <c r="AL14" s="1211">
        <f t="shared" si="3"/>
        <v>0</v>
      </c>
      <c r="AM14" s="1211">
        <f t="shared" si="3"/>
        <v>0</v>
      </c>
      <c r="AN14" s="1211">
        <f t="shared" si="3"/>
        <v>0</v>
      </c>
      <c r="AO14" s="1203">
        <f>IF(ISNUMBER(((NºAsuntos!I14/NºAsuntos!G14)*11)/factor_trimestre),((NºAsuntos!I14/NºAsuntos!G14)*11)/factor_trimestre," - ")</f>
        <v>6.0434782608695654</v>
      </c>
      <c r="AP14" s="1213" t="str">
        <f>IF(ISNUMBER(Datos!CI14/Datos!CJ14),Datos!CI14/Datos!CJ14," - ")</f>
        <v xml:space="preserve"> - </v>
      </c>
      <c r="AQ14" s="1236">
        <f t="shared" ref="AQ14:AV14" si="4">SUBTOTAL(9,AQ9:AQ13)</f>
        <v>0</v>
      </c>
      <c r="AR14" s="1236">
        <f t="shared" si="4"/>
        <v>4.807692307692308E-3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71</v>
      </c>
      <c r="G17" s="552">
        <f>IF(ISNUMBER(IF(D_I="SI",Datos!I17,Datos!I17+Datos!AC17)),IF(D_I="SI",Datos!I17,Datos!I17+Datos!AC17)," - ")</f>
        <v>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v>
      </c>
      <c r="Z17" s="805">
        <f>IF(ISNUMBER(Datos!Q17),Datos!Q17," - ")</f>
        <v>3</v>
      </c>
      <c r="AA17" s="551">
        <f>IF(ISNUMBER(IF(D_I="SI",Datos!L17,Datos!L17+Datos!AF17)),IF(D_I="SI",Datos!L17,Datos!L17+Datos!AF17)," - ")</f>
        <v>71</v>
      </c>
      <c r="AB17" s="549"/>
      <c r="AC17" s="549"/>
      <c r="AD17" s="563"/>
      <c r="AE17" s="563">
        <f>IF(ISNUMBER(Datos!R17),Datos!R17," - ")</f>
        <v>8</v>
      </c>
      <c r="AF17" s="693" t="str">
        <f>IF(ISNUMBER(Datos!BV17),Datos!BV17," - ")</f>
        <v xml:space="preserve"> - </v>
      </c>
      <c r="AG17" s="552"/>
      <c r="AH17" s="553"/>
      <c r="AI17" s="554"/>
      <c r="AJ17" s="552">
        <f>IF(ISNUMBER(Datos!M17),Datos!M17," - ")</f>
        <v>5</v>
      </c>
      <c r="AK17" s="693">
        <f>IF(ISNUMBER(Datos!N17),Datos!N17," - ")</f>
        <v>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3.0869565217391308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0.66666666666666663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71</v>
      </c>
      <c r="G23" s="1197">
        <f>SUBTOTAL(9,G16:G22)</f>
        <v>70</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v>
      </c>
      <c r="Z23" s="1240">
        <f t="shared" si="6"/>
        <v>3</v>
      </c>
      <c r="AA23" s="1240">
        <f t="shared" si="6"/>
        <v>72</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7</v>
      </c>
      <c r="AK23" s="1240">
        <f t="shared" si="6"/>
        <v>29</v>
      </c>
      <c r="AL23" s="1240">
        <f t="shared" si="6"/>
        <v>0</v>
      </c>
      <c r="AM23" s="1240">
        <f t="shared" si="6"/>
        <v>0</v>
      </c>
      <c r="AN23" s="1240">
        <f t="shared" si="6"/>
        <v>0</v>
      </c>
      <c r="AO23" s="1242">
        <f>IF(ISNUMBER(((NºAsuntos!I23/NºAsuntos!G23)*11)/factor_trimestre),((NºAsuntos!I23/NºAsuntos!G23)*11)/factor_trimestre," - ")</f>
        <v>2.9387755102040818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71</v>
      </c>
      <c r="G31" s="1117">
        <f t="shared" si="12"/>
        <v>70</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v>
      </c>
      <c r="Z31" s="1124">
        <f t="shared" si="13"/>
        <v>20</v>
      </c>
      <c r="AA31" s="1125">
        <f t="shared" si="13"/>
        <v>72</v>
      </c>
      <c r="AB31" s="1125">
        <f t="shared" si="13"/>
        <v>0</v>
      </c>
      <c r="AC31" s="1125">
        <f t="shared" si="13"/>
        <v>0</v>
      </c>
      <c r="AD31" s="1126">
        <f t="shared" si="13"/>
        <v>0</v>
      </c>
      <c r="AE31" s="1126">
        <f t="shared" si="13"/>
        <v>426</v>
      </c>
      <c r="AF31" s="1127">
        <f t="shared" si="13"/>
        <v>0</v>
      </c>
      <c r="AG31" s="1128">
        <f t="shared" si="13"/>
        <v>0</v>
      </c>
      <c r="AH31" s="1129">
        <f t="shared" si="13"/>
        <v>0</v>
      </c>
      <c r="AI31" s="1127">
        <f t="shared" si="13"/>
        <v>0</v>
      </c>
      <c r="AJ31" s="1117">
        <f t="shared" si="13"/>
        <v>14</v>
      </c>
      <c r="AK31" s="1117">
        <f t="shared" si="13"/>
        <v>51</v>
      </c>
      <c r="AL31" s="1117">
        <f t="shared" si="13"/>
        <v>0</v>
      </c>
      <c r="AM31" s="1130">
        <f t="shared" si="13"/>
        <v>0</v>
      </c>
      <c r="AN31" s="1120">
        <f>IF(ISNUMBER(Datos!K31/Datos!J31),Datos!K31/Datos!J31," - ")</f>
        <v>0.91836734693877553</v>
      </c>
      <c r="AO31" s="1120">
        <f>IF(ISNUMBER(FIND("06",Criterios!A8,1)),(IF(ISNUMBER(((Datos!R31/Datos!Q31)*11)/factor_trimestre),((Datos!R31/Datos!Q31)*11)/factor_trimestre," - ")),(IF(ISNUMBER(((Datos!L31/Datos!K31)*11)/factor_trimestre),((Datos!L31/Datos!K31)*11)/factor_trimestre," - ")))</f>
        <v>4.666666666666667</v>
      </c>
      <c r="AP31" s="1131" t="str">
        <f>IF(ISNUMBER(Datos!CI31/Datos!CJ31),Datos!CI31/Datos!CJ31," - ")</f>
        <v xml:space="preserve"> - </v>
      </c>
      <c r="AQ31" s="1131">
        <f>IF(OR(ISNUMBER(FIND("01",Criterios!A8,1)),ISNUMBER(FIND("02",Criterios!A8,1)),ISNUMBER(FIND("03",Criterios!A8,1)),ISNUMBER(FIND("04",Criterios!A8,1))),(J31-Y31+K31)/(F31-K31),(I31-Y31+K31)/(F31-K31))</f>
        <v>-0.6901408450704225</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36.664242344096884</v>
      </c>
      <c r="G33" s="674">
        <f>IF(ISNUMBER(STDEV(G8:G30)),STDEV(G8:G30),"-")</f>
        <v>33.48631561299829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3.3380918415851206</v>
      </c>
      <c r="AK33" s="276"/>
      <c r="AL33" s="276">
        <f>IF(ISNUMBER(STDEV(AL8:AL30)),STDEV(AL8:AL30),"-")</f>
        <v>0</v>
      </c>
      <c r="AM33" s="278">
        <f>IF(ISNUMBER(STDEV(AM8:AM30)),STDEV(AM8:AM30),"-")</f>
        <v>0</v>
      </c>
      <c r="AN33" s="660">
        <f>IF(ISNUMBER(STDEV(AN8:AN30)),STDEV(AN8:AN30),"-")</f>
        <v>0</v>
      </c>
      <c r="AO33" s="661">
        <f>IF(ISNUMBER(STDEV(AO8:AO30)),STDEV(AO8:AO30),"-")</f>
        <v>2.2980735949770832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LBOpGTWY1X4jGZTLtGWThmsCLsF//x75LGt9AqsFaP93M2mpMPOC8FXLn8u+iTVoTeV9HbFzJfxyYjwhf+SEA==" saltValue="kwsAWPmbOjzHhK05xUp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xpfgZRkgnjaelddEHkDvs2cflkJG8pX+lCN+KUTzbPK3EIlhhsbuYh8Ql1o/OQmEtrWLbeCePFXjvXEXgPZCg==" saltValue="zdARzlvgiiEocl77J2y+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Om7GZVSdPujMHO0R9DbxGCdAwHJ5iKa8JztoDz2h6YtjufVHuSgJekFyIbK/Xpg6GlGo0PN0os72ve8jIgEZg==" saltValue="uALA1NADTOLJkz3q0KbH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FREGENAL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0.15217391304347827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0.1076032058327355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8E55FLbR1scyqDcwbisoGfzDFU5CxftgHea1HaI6sjGr/YD5yQ0WbNZlh1grAAPQy4DJNq+G/nSx5IRHCfBw==" saltValue="JnXdKAemCj0pC+U+S2eb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U2Vg63NOyuN764FlllQJDWw9Y3G5B2bqMvS6YckT/GfAACP2mtMlHmz3lhsi1i7MZ7hwb9TXOHkm7bvDdXH0g==" saltValue="gGIHlukWs9YClrIED1DS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FREGENAL DE LA SIERRA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131</v>
      </c>
      <c r="D12" s="452">
        <f>IF(ISNUMBER(C12/Datos!BH12),C12/Datos!BH12," - ")</f>
        <v>131</v>
      </c>
      <c r="E12" s="451">
        <f>IF(ISNUMBER(IF(J_V="SI",Datos!J12,Datos!J12+Datos!Z12)),IF(J_V="SI",Datos!J12,Datos!J12+Datos!Z12)," - ")</f>
        <v>54</v>
      </c>
      <c r="F12" s="452">
        <f>IF(ISNUMBER(E12/B12),E12/B12," - ")</f>
        <v>54</v>
      </c>
      <c r="G12" s="451">
        <f>IF(ISNUMBER(IF(J_V="SI",Datos!K12,Datos!K12+Datos!AA12)),IF(J_V="SI",Datos!K12,Datos!K12+Datos!AA12)," - ")</f>
        <v>46</v>
      </c>
      <c r="H12" s="452">
        <f>IF(ISNUMBER(G12/B12),G12/B12," - ")</f>
        <v>46</v>
      </c>
      <c r="I12" s="451">
        <f>IF(ISNUMBER(IF(J_V="SI",Datos!L12,Datos!L12+Datos!AB12)),IF(J_V="SI",Datos!L12,Datos!L12+Datos!AB12)," - ")</f>
        <v>139</v>
      </c>
      <c r="J12" s="452">
        <f>IF(ISNUMBER(I12/B12),I12/B12," - ")</f>
        <v>139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131</v>
      </c>
      <c r="D14" s="1147" t="str">
        <f>IF(ISNUMBER(C14/Datos!BI14),C14/Datos!BI14," - ")</f>
        <v xml:space="preserve"> - </v>
      </c>
      <c r="E14" s="1146">
        <f>SUBTOTAL(9,E8:E13)</f>
        <v>54</v>
      </c>
      <c r="F14" s="1147">
        <f>IF(ISNUMBER(E14/B14),E14/B14," - ")</f>
        <v>54</v>
      </c>
      <c r="G14" s="1146">
        <f>SUBTOTAL(9,G8:G13)</f>
        <v>46</v>
      </c>
      <c r="H14" s="1147">
        <f>IF(ISNUMBER(G14/B14),G14/B14," - ")</f>
        <v>46</v>
      </c>
      <c r="I14" s="1146">
        <f>SUBTOTAL(9,I8:I13)</f>
        <v>139</v>
      </c>
      <c r="J14" s="1147">
        <f>IF(ISNUMBER(I14/B14),I14/B14," - ")</f>
        <v>139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68</v>
      </c>
      <c r="D17" s="452">
        <f>IF(ISNUMBER(C17/Datos!BH17),C17/Datos!BH17," - ")</f>
        <v>68</v>
      </c>
      <c r="E17" s="451">
        <f>IF(ISNUMBER(IF(D_I="SI",Datos!J17,Datos!J17+Datos!AD17)),IF(D_I="SI",Datos!J17,Datos!J17+Datos!AD17)," - ")</f>
        <v>46</v>
      </c>
      <c r="F17" s="452">
        <f>IF(ISNUMBER(E17/B17),E17/B17," - ")</f>
        <v>46</v>
      </c>
      <c r="G17" s="451">
        <f>IF(ISNUMBER(IF(D_I="SI",Datos!K17,Datos!K17+Datos!AE17)),IF(D_I="SI",Datos!K17,Datos!K17+Datos!AE17)," - ")</f>
        <v>46</v>
      </c>
      <c r="H17" s="452">
        <f>IF(ISNUMBER(G17/B17),G17/B17," - ")</f>
        <v>46</v>
      </c>
      <c r="I17" s="451">
        <f>IF(ISNUMBER(IF(D_I="SI",Datos!L17,Datos!L17+Datos!AF17)),IF(D_I="SI",Datos!L17,Datos!L17+Datos!AF17)," - ")</f>
        <v>71</v>
      </c>
      <c r="J17" s="452">
        <f>IF(ISNUMBER(I17/B17),I17/B17," - ")</f>
        <v>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2</v>
      </c>
      <c r="F18" s="452">
        <f>IF(ISNUMBER(E18/B18),E18/B18," - ")</f>
        <v>2</v>
      </c>
      <c r="G18" s="451">
        <f>IF(ISNUMBER(IF(D_I="SI",Datos!K18,Datos!K18+Datos!AE18)),IF(D_I="SI",Datos!K18,Datos!K18+Datos!AE18)," - ")</f>
        <v>3</v>
      </c>
      <c r="H18" s="452">
        <f>IF(ISNUMBER(G18/B18),G18/B18," - ")</f>
        <v>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70</v>
      </c>
      <c r="D23" s="1147" t="str">
        <f>IF(ISNUMBER(C23/Datos!BI23),C23/Datos!BI23," - ")</f>
        <v xml:space="preserve"> - </v>
      </c>
      <c r="E23" s="1146">
        <f>SUBTOTAL(9,E15:E22)</f>
        <v>48</v>
      </c>
      <c r="F23" s="1147">
        <f>IF(ISNUMBER(E23/B23),E23/B23," - ")</f>
        <v>48</v>
      </c>
      <c r="G23" s="1146">
        <f>SUBTOTAL(9,G15:G22)</f>
        <v>49</v>
      </c>
      <c r="H23" s="1147">
        <f>IF(ISNUMBER(G23/B23),G23/B23," - ")</f>
        <v>49</v>
      </c>
      <c r="I23" s="1146">
        <f>SUBTOTAL(9,I15:I22)</f>
        <v>72</v>
      </c>
      <c r="J23" s="1147">
        <f>IF(ISNUMBER(I23/B23),I23/B23," - ")</f>
        <v>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201</v>
      </c>
      <c r="D31" s="1085" t="str">
        <f>IF(ISNUMBER(C31/Datos!BI31),C31/Datos!BI31," - ")</f>
        <v xml:space="preserve"> - </v>
      </c>
      <c r="E31" s="1084">
        <f>SUBTOTAL(9,E9:E30)</f>
        <v>102</v>
      </c>
      <c r="F31" s="1085">
        <f>IF(ISNUMBER(E31/B31),E31/B31," - ")</f>
        <v>102</v>
      </c>
      <c r="G31" s="1084">
        <f>SUBTOTAL(9,G9:G30)</f>
        <v>95</v>
      </c>
      <c r="H31" s="1085">
        <f>IF(ISNUMBER(G31/B31),G31/B31," - ")</f>
        <v>95</v>
      </c>
      <c r="I31" s="1084">
        <f>SUBTOTAL(9,I9:I30)</f>
        <v>211</v>
      </c>
      <c r="J31" s="1085">
        <f>IF(ISNUMBER(I31/B31),I31/B31," - ")</f>
        <v>211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U+q3GDbFyIkRpIhdy4qNjmd97Na/Grwut2x/8GgXKCvrU3GkNRx5QEC6I01SGMTAYg6tBdp1UVbpmCwIjFhwg==" saltValue="jAjM4wGYtAE26AfCiPUd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FREGENAL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v>
      </c>
      <c r="AM12" s="914">
        <f>IF(ISNUMBER(Datos!N12+DatosP!N17),Datos!N12+DatosP!N17," - ")</f>
        <v>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6.0434782608695654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4.807692307692308E-3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0</v>
      </c>
      <c r="AG14" s="1257">
        <f t="shared" si="1"/>
        <v>0</v>
      </c>
      <c r="AH14" s="1257">
        <f t="shared" si="1"/>
        <v>418</v>
      </c>
      <c r="AI14" s="1257">
        <f t="shared" si="1"/>
        <v>0</v>
      </c>
      <c r="AJ14" s="1257">
        <f t="shared" si="1"/>
        <v>0</v>
      </c>
      <c r="AK14" s="1257">
        <f t="shared" si="1"/>
        <v>0</v>
      </c>
      <c r="AL14" s="1257">
        <f t="shared" si="1"/>
        <v>7</v>
      </c>
      <c r="AM14" s="1257">
        <f t="shared" si="1"/>
        <v>22</v>
      </c>
      <c r="AN14" s="1257">
        <f t="shared" si="1"/>
        <v>0</v>
      </c>
      <c r="AO14" s="1257">
        <f t="shared" si="1"/>
        <v>0</v>
      </c>
      <c r="AP14" s="1262">
        <f>IF(ISNUMBER(((Datos!L14/Datos!K14)*11)/factor_trimestre),((Datos!L14/Datos!K14)*11)/factor_trimestre," - ")</f>
        <v>6.7317073170731705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4.807692307692308E-3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2.9387755102040818</v>
      </c>
      <c r="AQ23" s="1262">
        <f>IF(ISNUMBER(((Datos!M23/Datos!L23)*11)/factor_trimestre),((Datos!M23/Datos!L23)*11)/factor_trimestre," - ")</f>
        <v>0.19444444444444445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-7.9365079365079361E-2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0</v>
      </c>
      <c r="AG31" s="1285">
        <f t="shared" si="9"/>
        <v>0</v>
      </c>
      <c r="AH31" s="1285">
        <f t="shared" si="9"/>
        <v>418</v>
      </c>
      <c r="AI31" s="1285">
        <f t="shared" si="9"/>
        <v>0</v>
      </c>
      <c r="AJ31" s="1286">
        <f t="shared" si="9"/>
        <v>0</v>
      </c>
      <c r="AK31" s="1286">
        <f t="shared" si="9"/>
        <v>0</v>
      </c>
      <c r="AL31" s="1278">
        <f t="shared" si="9"/>
        <v>7</v>
      </c>
      <c r="AM31" s="1278">
        <f t="shared" si="9"/>
        <v>22</v>
      </c>
      <c r="AN31" s="1278">
        <f t="shared" si="9"/>
        <v>0</v>
      </c>
      <c r="AO31" s="1278">
        <f t="shared" si="9"/>
        <v>0</v>
      </c>
      <c r="AP31" s="1278">
        <f>IF(ISNUMBER(((Datos!L31/Datos!K31)*11)/factor_trimestre),((Datos!L31/Datos!K31)*11)/factor_trimestre," - ")</f>
        <v>4.666666666666667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2.0206917171830034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r1SfE5KLVjlsvd0gKLoMMqeMiUklsA7EOt4YP0W5dGSqYGWJW/7ArL+QpEJpXQ/DdVcfwnUl05pbMCqfrgfwA==" saltValue="3u3K6yp6I/xCMWVFLpf1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FREGENAL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KvOTDvT4VgEPS11mFUcj6mDaKqkVS4cnSrEv+MNPj7t8EOQUhEffZTimOo4Eo2yZP7YtuMZ01JbK2ZCE+vNng==" saltValue="0pAoWwNzRg+Orpx1Ym1h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FREGENAL DE LA SIERRA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v>
      </c>
      <c r="E12" s="452">
        <f t="shared" si="0"/>
        <v>7</v>
      </c>
      <c r="F12" s="451">
        <f>IF(ISNUMBER(Datos!N12),Datos!N12," - ")</f>
        <v>22</v>
      </c>
      <c r="G12" s="452">
        <f t="shared" si="1"/>
        <v>22</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v>
      </c>
      <c r="E14" s="1147">
        <f t="shared" si="0"/>
        <v>3.5</v>
      </c>
      <c r="F14" s="1146">
        <f>SUBTOTAL(9,F9:F13)</f>
        <v>22</v>
      </c>
      <c r="G14" s="1147">
        <f t="shared" si="1"/>
        <v>11</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v>
      </c>
      <c r="E17" s="452">
        <f t="shared" si="3"/>
        <v>5</v>
      </c>
      <c r="F17" s="451">
        <f>IF(ISNUMBER(Datos!N17),Datos!N17," - ")</f>
        <v>29</v>
      </c>
      <c r="G17" s="452">
        <f t="shared" si="4"/>
        <v>29</v>
      </c>
      <c r="H17" s="451">
        <f>IF(ISNUMBER(Datos!O17),Datos!O17," - ")</f>
        <v>1</v>
      </c>
      <c r="I17" s="452">
        <f t="shared" si="5"/>
        <v>1</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29</v>
      </c>
      <c r="G23" s="1147">
        <f t="shared" si="4"/>
        <v>14.5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14</v>
      </c>
      <c r="E31" s="1085">
        <f>IF(ISNUMBER(D31/B31),D31/B31," - ")</f>
        <v>14</v>
      </c>
      <c r="F31" s="1084">
        <f>SUBTOTAL(9,F8:F30)</f>
        <v>51</v>
      </c>
      <c r="G31" s="1085">
        <f>IF(ISNUMBER(F31/B31),F31/B31," - ")</f>
        <v>51</v>
      </c>
      <c r="H31" s="1084">
        <f>SUBTOTAL(9,H8:H30)</f>
        <v>34</v>
      </c>
      <c r="I31" s="1085">
        <f>IF(ISNUMBER(H31/B31),H31/B31," - ")</f>
        <v>34</v>
      </c>
    </row>
    <row r="34" spans="1:1">
      <c r="A34" s="439" t="str">
        <f>Criterios!A4</f>
        <v>Fecha Informe: 06 may. 2023</v>
      </c>
    </row>
    <row r="39" spans="1:1">
      <c r="A39" s="462"/>
    </row>
  </sheetData>
  <sheetProtection algorithmName="SHA-512" hashValue="vgd4QKWmBNW1L/1FEJ8+u1+Uv5tdU/aNXFHP1i64xsdKbiwdm5zE1AaZWMWEFYxgSa0JNvacxrD7fM0V2BFwtg==" saltValue="KC5qVhTEK9z0NFOOd/Dc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FREGENAL DE LA SIERRA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17</v>
      </c>
      <c r="D12" s="456">
        <f>IF(ISNUMBER(Datos!R12),Datos!R12," - ")</f>
        <v>418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17</v>
      </c>
      <c r="D14" s="1148">
        <f>SUBTOTAL(9,D9:D13)</f>
        <v>418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20</v>
      </c>
      <c r="D31" s="1090">
        <f>SUBTOTAL(9,D8:D30)</f>
        <v>426</v>
      </c>
    </row>
    <row r="32" spans="1:4" ht="7.5" customHeight="1"/>
    <row r="33" spans="1:1" ht="6" customHeight="1"/>
    <row r="34" spans="1:1">
      <c r="A34" s="439" t="str">
        <f>Criterios!A4</f>
        <v>Fecha Informe: 06 may. 2023</v>
      </c>
    </row>
    <row r="39" spans="1:1">
      <c r="A39" s="462"/>
    </row>
  </sheetData>
  <sheetProtection algorithmName="SHA-512" hashValue="KcgiZGweAEkUzxl6omhxwbKP5Yzh77clgs2Gn9x+5erAikrKjWBlkLGAjEhDghU2UD+osdYEoCmnWRowvBb9Rg==" saltValue="bXlS48gOh5/myuRWhUdk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FREGENAL DE LA SIERRA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0.52325581395348841</v>
      </c>
      <c r="C12" s="515">
        <f>IF(ISNUMBER(
   IF(J_V="SI",(Datos!J12-Datos!T12)/Datos!T12,(Datos!J12+Datos!Z12-(Datos!T12+Datos!AH12))/(Datos!T12+Datos!AH12))
     ),IF(J_V="SI",(Datos!J12-Datos!T12)/Datos!T12,(Datos!J12+Datos!Z12-(Datos!T12+Datos!AH12))/(Datos!T12+Datos!AH12))," - ")</f>
        <v>0.125</v>
      </c>
      <c r="D12" s="515">
        <f>IF(ISNUMBER(
   IF(J_V="SI",(Datos!K12-Datos!U12)/Datos!U12,(Datos!K12+Datos!AA12-(Datos!U12+Datos!AI12))/(Datos!U12+Datos!AI12))
     ),IF(J_V="SI",(Datos!K12-Datos!U12)/Datos!U12,(Datos!K12+Datos!AA12-(Datos!U12+Datos!AI12))/(Datos!U12+Datos!AI12))," - ")</f>
        <v>0.35294117647058826</v>
      </c>
      <c r="E12" s="515">
        <f>IF(ISNUMBER(
   IF(J_V="SI",(Datos!L12-Datos!V12)/Datos!V12,(Datos!L12+Datos!AB12-(Datos!V12+Datos!AJ12))/(Datos!V12+Datos!AJ12))
     ),IF(J_V="SI",(Datos!L12-Datos!V12)/Datos!V12,(Datos!L12+Datos!AB12-(Datos!V12+Datos!AJ12))/(Datos!V12+Datos!AJ12))," - ")</f>
        <v>0.39</v>
      </c>
      <c r="F12" s="515">
        <f>IF(ISNUMBER((Datos!M12-Datos!W12)/Datos!W12),(Datos!M12-Datos!W12)/Datos!W12," - ")</f>
        <v>-0.36363636363636365</v>
      </c>
      <c r="G12" s="516">
        <f>IF(ISNUMBER((Datos!N12-Datos!X12)/Datos!X12),(Datos!N12-Datos!X12)/Datos!X12," - ")</f>
        <v>0.83333333333333337</v>
      </c>
      <c r="H12" s="514">
        <f>IF(ISNUMBER(((NºAsuntos!G12/NºAsuntos!E12)-Datos!BD12)/Datos!BD12),((NºAsuntos!G12/NºAsuntos!E12)-Datos!BD12)/Datos!BD12," - ")</f>
        <v>0.20261437908496727</v>
      </c>
      <c r="I12" s="515">
        <f>IF(ISNUMBER(((NºAsuntos!I12/NºAsuntos!G12)-Datos!BE12)/Datos!BE12),((NºAsuntos!I12/NºAsuntos!G12)-Datos!BE12)/Datos!BE12," - ")</f>
        <v>2.7391304347826047E-2</v>
      </c>
      <c r="J12" s="521">
        <f>IF(ISNUMBER((('Resol  Asuntos'!D12/NºAsuntos!G12)-Datos!BF12)/Datos!BF12),(('Resol  Asuntos'!D12/NºAsuntos!G12)-Datos!BF12)/Datos!BF12," - ")</f>
        <v>-0.5688405797101449</v>
      </c>
      <c r="K12" s="522">
        <f>IF(ISNUMBER((((NºAsuntos!C12+NºAsuntos!E12)/NºAsuntos!G12)-Datos!BG12)/Datos!BG12),(((NºAsuntos!C12+NºAsuntos!E12)/NºAsuntos!G12)-Datos!BG12)/Datos!BG12," - ")</f>
        <v>2.044127190136261E-2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0.52325581395348841</v>
      </c>
      <c r="C14" s="1152">
        <f>IF(ISNUMBER(
   IF(J_V="SI",(Datos!J14-Datos!T14)/Datos!T14,(Datos!J14+Datos!Z14-(Datos!T14+Datos!AH14))/(Datos!T14+Datos!AH14))
     ),IF(J_V="SI",(Datos!J14-Datos!T14)/Datos!T14,(Datos!J14+Datos!Z14-(Datos!T14+Datos!AH14))/(Datos!T14+Datos!AH14))," - ")</f>
        <v>0.125</v>
      </c>
      <c r="D14" s="1152">
        <f>IF(ISNUMBER(
   IF(J_V="SI",(Datos!K14-Datos!U14)/Datos!U14,(Datos!K14+Datos!AA14-(Datos!U14+Datos!AI14))/(Datos!U14+Datos!AI14))
     ),IF(J_V="SI",(Datos!K14-Datos!U14)/Datos!U14,(Datos!K14+Datos!AA14-(Datos!U14+Datos!AI14))/(Datos!U14+Datos!AI14))," - ")</f>
        <v>0.35294117647058826</v>
      </c>
      <c r="E14" s="1152">
        <f>IF(ISNUMBER(
   IF(J_V="SI",(Datos!L14-Datos!V14)/Datos!V14,(Datos!L14+Datos!AB14-(Datos!V14+Datos!AJ14))/(Datos!V14+Datos!AJ14))
     ),IF(J_V="SI",(Datos!L14-Datos!V14)/Datos!V14,(Datos!L14+Datos!AB14-(Datos!V14+Datos!AJ14))/(Datos!V14+Datos!AJ14))," - ")</f>
        <v>0.39</v>
      </c>
      <c r="F14" s="1153">
        <f>IF(ISNUMBER((Datos!M14-Datos!W14)/Datos!W14),(Datos!M14-Datos!W14)/Datos!W14," - ")</f>
        <v>-0.36363636363636365</v>
      </c>
      <c r="G14" s="1154">
        <f>IF(ISNUMBER((Datos!N14-Datos!X14)/Datos!X14),(Datos!N14-Datos!X14)/Datos!X14," - ")</f>
        <v>0.83333333333333337</v>
      </c>
      <c r="H14" s="1154">
        <f>IF(ISNUMBER(((NºAsuntos!G14/NºAsuntos!E14)-Datos!BD14)/Datos!BD14),((NºAsuntos!G14/NºAsuntos!E14)-Datos!BD14)/Datos!BD14," - ")</f>
        <v>0.20261437908496727</v>
      </c>
      <c r="I14" s="1154">
        <f>IF(ISNUMBER(((NºAsuntos!I14/NºAsuntos!G14)-Datos!BE14)/Datos!BE14),((NºAsuntos!I14/NºAsuntos!G14)-Datos!BE14)/Datos!BE14," - ")</f>
        <v>2.7391304347826047E-2</v>
      </c>
      <c r="J14" s="1154">
        <f>IF(ISNUMBER((('Resol  Asuntos'!D14/NºAsuntos!G14)-Datos!BF14)/Datos!BF14),(('Resol  Asuntos'!D14/NºAsuntos!G14)-Datos!BF14)/Datos!BF14," - ")</f>
        <v>-0.5688405797101449</v>
      </c>
      <c r="K14" s="1154">
        <f>IF(ISNUMBER((((NºAsuntos!C14+NºAsuntos!E14)/NºAsuntos!G14)-Datos!BG14)/Datos!BG14),(((NºAsuntos!C14+NºAsuntos!E14)/NºAsuntos!G14)-Datos!BG14)/Datos!BG14," - ")</f>
        <v>2.044127190136261E-2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0.38775510204081631</v>
      </c>
      <c r="C17" s="515">
        <f>IF(ISNUMBER(
   IF(D_I="SI",(Datos!J17-Datos!T17)/Datos!T17,(Datos!J17+Datos!AD17-(Datos!T17+Datos!AL17))/(Datos!T17+Datos!AL17))
     ),IF(D_I="SI",(Datos!J17-Datos!T17)/Datos!T17,(Datos!J17+Datos!AD17-(Datos!T17+Datos!AL17))/(Datos!T17+Datos!AL17))," - ")</f>
        <v>-0.38666666666666666</v>
      </c>
      <c r="D17" s="515">
        <f>IF(ISNUMBER(
   IF(D_I="SI",(Datos!K17-Datos!U17)/Datos!U17,(Datos!K17+Datos!AE17-(Datos!U17+Datos!AM17))/(Datos!U17+Datos!AM17))
     ),IF(D_I="SI",(Datos!K17-Datos!U17)/Datos!U17,(Datos!K17+Datos!AE17-(Datos!U17+Datos!AM17))/(Datos!U17+Datos!AM17))," - ")</f>
        <v>-0.31343283582089554</v>
      </c>
      <c r="E17" s="515">
        <f>IF(ISNUMBER(
   IF(D_I="SI",(Datos!L17-Datos!V17)/Datos!V17,(Datos!L17+Datos!AF17-(Datos!V17+Datos!AN17))/(Datos!V17+Datos!AN17))
     ),IF(D_I="SI",(Datos!L17-Datos!V17)/Datos!V17,(Datos!L17+Datos!AF17-(Datos!V17+Datos!AN17))/(Datos!V17+Datos!AN17))," - ")</f>
        <v>0.14516129032258066</v>
      </c>
      <c r="F17" s="515">
        <f>IF(ISNUMBER((Datos!M17-Datos!W17)/Datos!W17),(Datos!M17-Datos!W17)/Datos!W17," - ")</f>
        <v>-0.16666666666666666</v>
      </c>
      <c r="G17" s="516">
        <f>IF(ISNUMBER((Datos!N17-Datos!X17)/Datos!X17),(Datos!N17-Datos!X17)/Datos!X17," - ")</f>
        <v>-0.38297872340425532</v>
      </c>
      <c r="H17" s="514">
        <f>IF(ISNUMBER(((NºAsuntos!G17/NºAsuntos!E17)-Datos!BD17)/Datos!BD17),((NºAsuntos!G17/NºAsuntos!E17)-Datos!BD17)/Datos!BD17," - ")</f>
        <v>0.11940298507462689</v>
      </c>
      <c r="I17" s="515">
        <f>IF(ISNUMBER(((NºAsuntos!I17/NºAsuntos!G17)-Datos!BE17)/Datos!BE17),((NºAsuntos!I17/NºAsuntos!G17)-Datos!BE17)/Datos!BE17," - ")</f>
        <v>0.66795231416549783</v>
      </c>
      <c r="J17" s="521">
        <f>IF(ISNUMBER((('Resol  Asuntos'!D17/NºAsuntos!G17)-Datos!BF17)/Datos!BF17),(('Resol  Asuntos'!D17/NºAsuntos!G17)-Datos!BF17)/Datos!BF17," - ")</f>
        <v>0.21376811594202902</v>
      </c>
      <c r="K17" s="522">
        <f>IF(ISNUMBER((((NºAsuntos!C17+NºAsuntos!E17)/NºAsuntos!G17)-Datos!BG17)/Datos!BG17),(((NºAsuntos!C17+NºAsuntos!E17)/NºAsuntos!G17)-Datos!BG17)/Datos!BG17," - ")</f>
        <v>0.33906030855539965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-0.77777777777777779</v>
      </c>
      <c r="C18" s="515">
        <f>IF(ISNUMBER(
   IF(D_I="SI",(Datos!J18-Datos!T18)/Datos!T18,(Datos!J18+Datos!AD18-(Datos!T18+Datos!AL18))/(Datos!T18+Datos!AL18))
     ),IF(D_I="SI",(Datos!J18-Datos!T18)/Datos!T18,(Datos!J18+Datos!AD18-(Datos!T18+Datos!AL18))/(Datos!T18+Datos!AL18))," - ")</f>
        <v>-0.83333333333333337</v>
      </c>
      <c r="D18" s="515">
        <f>IF(ISNUMBER(
   IF(D_I="SI",(Datos!K18-Datos!U18)/Datos!U18,(Datos!K18+Datos!AE18-(Datos!U18+Datos!AM18))/(Datos!U18+Datos!AM18))
     ),IF(D_I="SI",(Datos!K18-Datos!U18)/Datos!U18,(Datos!K18+Datos!AE18-(Datos!U18+Datos!AM18))/(Datos!U18+Datos!AM18))," - ")</f>
        <v>-0.72727272727272729</v>
      </c>
      <c r="E18" s="515">
        <f>IF(ISNUMBER(
   IF(D_I="SI",(Datos!L18-Datos!V18)/Datos!V18,(Datos!L18+Datos!AF18-(Datos!V18+Datos!AN18))/(Datos!V18+Datos!AN18))
     ),IF(D_I="SI",(Datos!L18-Datos!V18)/Datos!V18,(Datos!L18+Datos!AF18-(Datos!V18+Datos!AN18))/(Datos!V18+Datos!AN18))," - ")</f>
        <v>-0.9</v>
      </c>
      <c r="F18" s="515">
        <f>IF(ISNUMBER((Datos!M18-Datos!W18)/Datos!W18),(Datos!M18-Datos!W18)/Datos!W18," - ")</f>
        <v>-0.33333333333333331</v>
      </c>
      <c r="G18" s="516">
        <f>IF(ISNUMBER((Datos!N18-Datos!X18)/Datos!X18),(Datos!N18-Datos!X18)/Datos!X18," - ")</f>
        <v>-1</v>
      </c>
      <c r="H18" s="514">
        <f>IF(ISNUMBER(((NºAsuntos!G18/NºAsuntos!E18)-Datos!BD18)/Datos!BD18),((NºAsuntos!G18/NºAsuntos!E18)-Datos!BD18)/Datos!BD18," - ")</f>
        <v>0.63636363636363646</v>
      </c>
      <c r="I18" s="515">
        <f>IF(ISNUMBER(((NºAsuntos!I18/NºAsuntos!G18)-Datos!BE18)/Datos!BE18),((NºAsuntos!I18/NºAsuntos!G18)-Datos!BE18)/Datos!BE18," - ")</f>
        <v>-0.6333333333333333</v>
      </c>
      <c r="J18" s="521">
        <f>IF(ISNUMBER((('Resol  Asuntos'!D18/NºAsuntos!G18)-Datos!BF18)/Datos!BF18),(('Resol  Asuntos'!D18/NºAsuntos!G18)-Datos!BF18)/Datos!BF18," - ")</f>
        <v>1.4444444444444444</v>
      </c>
      <c r="K18" s="522">
        <f>IF(ISNUMBER((((NºAsuntos!C18+NºAsuntos!E18)/NºAsuntos!G18)-Datos!BG18)/Datos!BG18),(((NºAsuntos!C18+NºAsuntos!E18)/NºAsuntos!G18)-Datos!BG18)/Datos!BG18," - ")</f>
        <v>-0.30158730158730168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0.20689655172413793</v>
      </c>
      <c r="C23" s="1152">
        <f>IF(ISNUMBER(
   IF(Criterios!B14="SI",(Datos!J23-Datos!T23)/Datos!T23,(Datos!J23+Datos!AD23-(Datos!T23+Datos!AL23))/(Datos!T23+Datos!AL23))
     ),IF(Criterios!B14="SI",(Datos!J23-Datos!T23)/Datos!T23,(Datos!J23+Datos!AD23-(Datos!T23+Datos!AL23))/(Datos!T23+Datos!AL23))," - ")</f>
        <v>-0.44827586206896552</v>
      </c>
      <c r="D23" s="1152">
        <f>IF(ISNUMBER(
   IF(Criterios!B14="SI",(Datos!K23-Datos!U23)/Datos!U23,(Datos!K23+Datos!AE23-(Datos!U23+Datos!AM23))/(Datos!U23+Datos!AM23))
     ),IF(Criterios!B14="SI",(Datos!K23-Datos!U23)/Datos!U23,(Datos!K23+Datos!AE23-(Datos!U23+Datos!AM23))/(Datos!U23+Datos!AM23))," - ")</f>
        <v>-0.37179487179487181</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-0.22222222222222221</v>
      </c>
      <c r="G23" s="1154">
        <f>IF(ISNUMBER((Datos!N23-Datos!X23)/Datos!X23),(Datos!N23-Datos!X23)/Datos!X23," - ")</f>
        <v>-0.45283018867924529</v>
      </c>
      <c r="H23" s="1154">
        <f>IF(ISNUMBER(((NºAsuntos!G23/NºAsuntos!E23)-Datos!BD23)/Datos!BD23),((NºAsuntos!G23/NºAsuntos!E23)-Datos!BD23)/Datos!BD23," - ")</f>
        <v>0.13862179487179477</v>
      </c>
      <c r="I23" s="1154">
        <f>IF(ISNUMBER(((NºAsuntos!I23/NºAsuntos!G23)-Datos!BE23)/Datos!BE23),((NºAsuntos!I23/NºAsuntos!G23)-Datos!BE23)/Datos!BE23," - ")</f>
        <v>0.59183673469387754</v>
      </c>
      <c r="J23" s="1154">
        <f>IF(ISNUMBER((('Resol  Asuntos'!D23/NºAsuntos!G23)-Datos!BF23)/Datos!BF23),(('Resol  Asuntos'!D23/NºAsuntos!G23)-Datos!BF23)/Datos!BF23," - ")</f>
        <v>0.23809523809523797</v>
      </c>
      <c r="K23" s="1154">
        <f>IF(ISNUMBER((((NºAsuntos!C23+NºAsuntos!E23)/NºAsuntos!G23)-Datos!BG23)/Datos!BG23),(((NºAsuntos!C23+NºAsuntos!E23)/NºAsuntos!G23)-Datos!BG23)/Datos!BG23," - ")</f>
        <v>0.29542575650950031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0.39583333333333331</v>
      </c>
      <c r="C31" s="1092">
        <f>IF(ISNUMBER(
   IF(J_V="SI",(Datos!J31-Datos!T31)/Datos!T31,(Datos!J31+Datos!Z31-(Datos!T31+Datos!AH31))/(Datos!T31+Datos!AH31))
     ),IF(J_V="SI",(Datos!J31-Datos!T31)/Datos!T31,(Datos!J31+Datos!Z31-(Datos!T31+Datos!AH31))/(Datos!T31+Datos!AH31))," - ")</f>
        <v>-0.24444444444444444</v>
      </c>
      <c r="D31" s="1092">
        <f>IF(ISNUMBER(
   IF(J_V="SI",(Datos!K31-Datos!U31)/Datos!U31,(Datos!K31+Datos!AA31-(Datos!U31+Datos!AI31))/(Datos!U31+Datos!AI31))
     ),IF(J_V="SI",(Datos!K31-Datos!U31)/Datos!U31,(Datos!K31+Datos!AA31-(Datos!U31+Datos!AI31))/(Datos!U31+Datos!AI31))," - ")</f>
        <v>-0.15178571428571427</v>
      </c>
      <c r="E31" s="1092">
        <f>IF(ISNUMBER(
   IF(J_V="SI",(Datos!L31-Datos!V31)/Datos!V31,(Datos!L31+Datos!AB31-(Datos!V31+Datos!AJ31))/(Datos!V31+Datos!AJ31))
     ),IF(J_V="SI",(Datos!L31-Datos!V31)/Datos!V31,(Datos!L31+Datos!AB31-(Datos!V31+Datos!AJ31))/(Datos!V31+Datos!AJ31))," - ")</f>
        <v>0.22674418604651161</v>
      </c>
      <c r="F31" s="1093">
        <f>IF(ISNUMBER((Datos!M31-Datos!W31)/Datos!W31),(Datos!M31-Datos!W31)/Datos!W31," - ")</f>
        <v>-0.3</v>
      </c>
      <c r="G31" s="1094">
        <f>IF(ISNUMBER((Datos!N31-Datos!X31)/Datos!X31),(Datos!N31-Datos!X31)/Datos!X31," - ")</f>
        <v>-0.2153846153846154</v>
      </c>
      <c r="H31" s="1095">
        <f>IF(ISNUMBER((Tasas!B31-Datos!BD31)/Datos!BD31),(Tasas!B31-Datos!BD31)/Datos!BD31," - ")</f>
        <v>0.1226365546218488</v>
      </c>
      <c r="I31" s="1096">
        <f>IF(ISNUMBER((Tasas!C31-Datos!BE31)/Datos!BE31),(Tasas!C31-Datos!BE31)/Datos!BE31," - ")</f>
        <v>0.44626682986536087</v>
      </c>
      <c r="J31" s="1097">
        <f>IF(ISNUMBER((Tasas!D31-Datos!BF31)/Datos!BF31),(Tasas!D31-Datos!BF31)/Datos!BF31," - ")</f>
        <v>-0.21403508771929833</v>
      </c>
      <c r="K31" s="1097">
        <f>IF(ISNUMBER((Tasas!E31-Datos!BG31)/Datos!BG31),(Tasas!E31-Datos!BG31)/Datos!BG31," - ")</f>
        <v>0.28036219581211108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fwJkepSlOt7mTFYTB7lQPJWnxzPut9dSze5DXUGPF+8w/Z5BYFxODjhew0bvPi5N7E7kUs2vhol39pNNDyk4g==" saltValue="wrVpVs8wf1H+dVMz5z+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FREGENAL DE LA SIERRA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0.85185185185185186</v>
      </c>
      <c r="C12" s="498">
        <f>IF(ISNUMBER(NºAsuntos!I12/NºAsuntos!G12),NºAsuntos!I12/NºAsuntos!G12," - ")</f>
        <v>3.0217391304347827</v>
      </c>
      <c r="D12" s="499">
        <f>IF(ISNUMBER('Resol  Asuntos'!D12/NºAsuntos!G12),'Resol  Asuntos'!D12/NºAsuntos!G12," - ")</f>
        <v>0.15217391304347827</v>
      </c>
      <c r="E12" s="500">
        <f>IF(ISNUMBER((NºAsuntos!C12+NºAsuntos!E12)/NºAsuntos!G12),(NºAsuntos!C12+NºAsuntos!E12)/NºAsuntos!G12," - ")</f>
        <v>4.0217391304347823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0.85185185185185186</v>
      </c>
      <c r="C14" s="1156">
        <f>IF(ISNUMBER(NºAsuntos!I14/NºAsuntos!G14),NºAsuntos!I14/NºAsuntos!G14," - ")</f>
        <v>3.0217391304347827</v>
      </c>
      <c r="D14" s="1157">
        <f>IF(ISNUMBER('Resol  Asuntos'!D14/NºAsuntos!G14),'Resol  Asuntos'!D14/NºAsuntos!G14," - ")</f>
        <v>0.15217391304347827</v>
      </c>
      <c r="E14" s="1158">
        <f>IF(ISNUMBER((NºAsuntos!C14+NºAsuntos!E14)/NºAsuntos!G14),(NºAsuntos!C14+NºAsuntos!E14)/NºAsuntos!G14," - ")</f>
        <v>4.0217391304347823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1.5434782608695652</v>
      </c>
      <c r="D17" s="499">
        <f>IF(ISNUMBER('Resol  Asuntos'!D17/NºAsuntos!G17),'Resol  Asuntos'!D17/NºAsuntos!G17," - ")</f>
        <v>0.10869565217391304</v>
      </c>
      <c r="E17" s="500">
        <f>IF(ISNUMBER((NºAsuntos!C17+NºAsuntos!E17)/NºAsuntos!G17),(NºAsuntos!C17+NºAsuntos!E17)/NºAsuntos!G17," - ")</f>
        <v>2.4782608695652173</v>
      </c>
      <c r="G17" s="523"/>
    </row>
    <row r="18" spans="1:7">
      <c r="A18" s="450" t="str">
        <f>Datos!A18</f>
        <v>Jdos. Violencia contra la mujer</v>
      </c>
      <c r="B18" s="497">
        <f>IF(ISNUMBER(NºAsuntos!G18/NºAsuntos!E18),NºAsuntos!G18/NºAsuntos!E18," - ")</f>
        <v>1.5</v>
      </c>
      <c r="C18" s="498">
        <f>IF(ISNUMBER(NºAsuntos!I18/NºAsuntos!G18),NºAsuntos!I18/NºAsuntos!G18," - ")</f>
        <v>0.33333333333333331</v>
      </c>
      <c r="D18" s="499">
        <f>IF(ISNUMBER('Resol  Asuntos'!D18/NºAsuntos!G18),'Resol  Asuntos'!D18/NºAsuntos!G18," - ")</f>
        <v>0.66666666666666663</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1.0208333333333333</v>
      </c>
      <c r="C23" s="1156">
        <f>IF(ISNUMBER(NºAsuntos!I23/NºAsuntos!G23),NºAsuntos!I23/NºAsuntos!G23," - ")</f>
        <v>1.4693877551020409</v>
      </c>
      <c r="D23" s="1159">
        <f>IF(ISNUMBER('Resol  Asuntos'!D23/NºAsuntos!G23),'Resol  Asuntos'!D23/NºAsuntos!G23," - ")</f>
        <v>0.14285714285714285</v>
      </c>
      <c r="E23" s="1158">
        <f>IF(ISNUMBER((NºAsuntos!C23+NºAsuntos!E23)/NºAsuntos!G23),(NºAsuntos!C23+NºAsuntos!E23)/NºAsuntos!G23," - ")</f>
        <v>2.4081632653061225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0.93137254901960786</v>
      </c>
      <c r="C31" s="1099">
        <f>IF(ISNUMBER(NºAsuntos!I31/NºAsuntos!G31),NºAsuntos!I31/NºAsuntos!G31," - ")</f>
        <v>2.2210526315789472</v>
      </c>
      <c r="D31" s="1100">
        <f>IF(ISNUMBER('Resol  Asuntos'!D31/NºAsuntos!G31),'Resol  Asuntos'!D31/NºAsuntos!G31," - ")</f>
        <v>0.14736842105263157</v>
      </c>
      <c r="E31" s="1101">
        <f>IF(ISNUMBER((NºAsuntos!C31+NºAsuntos!E31)/NºAsuntos!G31),(NºAsuntos!C31+NºAsuntos!E31)/NºAsuntos!G31," - ")</f>
        <v>3.1894736842105265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HzKWBUuVoDkul5GK+fDwdVMUAM0a4zn154sQR3NubBgxfiuGX/W0gSkFBRGAGPh0T8hVhJkYWvtC2cID+DEjA==" saltValue="SHMrOG3wywTbQad/+BRo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FREGENAL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v>
      </c>
      <c r="AJ12" s="243" t="str">
        <f>IF(ISNUMBER(Datos!BW12),Datos!BW12," - ")</f>
        <v xml:space="preserve"> - </v>
      </c>
      <c r="AK12" s="242" t="str">
        <f>IF(ISNUMBER(Datos!BX12),Datos!BX12," - ")</f>
        <v xml:space="preserve"> - </v>
      </c>
      <c r="AL12" s="266">
        <f>IF(ISNUMBER(NºAsuntos!G12/NºAsuntos!E12),NºAsuntos!G12/NºAsuntos!E12," - ")</f>
        <v>0.85185185185185186</v>
      </c>
      <c r="AM12" s="284">
        <f>IF(ISNUMBER(((NºAsuntos!I12/NºAsuntos!G12)*11)/factor_trimestre),((NºAsuntos!I12/NºAsuntos!G12)*11)/factor_trimestre," - ")</f>
        <v>6.0434782608695654</v>
      </c>
      <c r="AN12" s="267">
        <f>IF(ISNUMBER('Resol  Asuntos'!D12/NºAsuntos!G12),'Resol  Asuntos'!D12/NºAsuntos!G12," - ")</f>
        <v>0.15217391304347827</v>
      </c>
      <c r="AO12" s="268">
        <f>IF(ISNUMBER((NºAsuntos!C12+NºAsuntos!E12)/NºAsuntos!G12),(NºAsuntos!C12+NºAsuntos!E12)/NºAsuntos!G12," - ")</f>
        <v>4.0217391304347823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0</v>
      </c>
      <c r="AB14" s="1165">
        <f t="shared" si="6"/>
        <v>418</v>
      </c>
      <c r="AC14" s="1165">
        <f t="shared" si="6"/>
        <v>0</v>
      </c>
      <c r="AD14" s="1165">
        <f t="shared" si="6"/>
        <v>0</v>
      </c>
      <c r="AE14" s="1169">
        <f t="shared" si="6"/>
        <v>0</v>
      </c>
      <c r="AF14" s="1162">
        <f t="shared" si="6"/>
        <v>0</v>
      </c>
      <c r="AG14" s="1170">
        <f t="shared" si="6"/>
        <v>0</v>
      </c>
      <c r="AH14" s="1167">
        <f t="shared" si="6"/>
        <v>0</v>
      </c>
      <c r="AI14" s="1162">
        <f t="shared" si="6"/>
        <v>7</v>
      </c>
      <c r="AJ14" s="1164">
        <f t="shared" si="6"/>
        <v>0</v>
      </c>
      <c r="AK14" s="1167">
        <f>SUBTOTAL(9,AK9:AK13)</f>
        <v>0</v>
      </c>
      <c r="AL14" s="1171">
        <f>IF(ISNUMBER(NºAsuntos!G14/NºAsuntos!E14),NºAsuntos!G14/NºAsuntos!E14," - ")</f>
        <v>0.85185185185185186</v>
      </c>
      <c r="AM14" s="1171">
        <f>IF(ISNUMBER(((NºAsuntos!I14/NºAsuntos!G14)*11)/factor_trimestre),((NºAsuntos!I14/NºAsuntos!G14)*11)/factor_trimestre," - ")</f>
        <v>6.0434782608695654</v>
      </c>
      <c r="AN14" s="1172">
        <f>IF(ISNUMBER('Resol  Asuntos'!D14/NºAsuntos!G14),'Resol  Asuntos'!D14/NºAsuntos!G14," - ")</f>
        <v>0.15217391304347827</v>
      </c>
      <c r="AO14" s="1173">
        <f>IF(ISNUMBER((NºAsuntos!C14+NºAsuntos!E14)/NºAsuntos!G14),(NºAsuntos!C14+NºAsuntos!E14)/NºAsuntos!G14," - ")</f>
        <v>4.0217391304347823</v>
      </c>
      <c r="AP14" s="1174" t="str">
        <f t="shared" si="2"/>
        <v xml:space="preserve"> - </v>
      </c>
      <c r="AQ14" s="1174" t="str">
        <f>IF(ISNUMBER((H14-W14+K14)/(F14)),(H14-W14+K14)/(F14)," - ")</f>
        <v xml:space="preserve"> - </v>
      </c>
      <c r="AR14" s="1175">
        <f>IF(ISNUMBER((Datos!P14-Datos!Q14)/(Datos!R14-Datos!P14+Datos!Q14)),(Datos!P14-Datos!Q14)/(Datos!R14-Datos!P14+Datos!Q14)," - ")</f>
        <v>4.807692307692308E-3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71</v>
      </c>
      <c r="G17" s="373">
        <f>IF(ISNUMBER(IF(D_I="SI",Datos!I17,Datos!I17+Datos!AC17)),IF(D_I="SI",Datos!I17,Datos!I17+Datos!AC17)," - ")</f>
        <v>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v>
      </c>
      <c r="X17" s="240">
        <f>IF(ISNUMBER(Datos!Q17),Datos!Q17," - ")</f>
        <v>3</v>
      </c>
      <c r="Y17" s="374">
        <f t="shared" ref="Y17:Y22" si="9">SUM(W17:X17)</f>
        <v>49</v>
      </c>
      <c r="Z17" s="375" t="str">
        <f>IF(ISNUMBER(Datos!CC17),Datos!CC17," - ")</f>
        <v xml:space="preserve"> - </v>
      </c>
      <c r="AA17" s="372">
        <f>IF(ISNUMBER(IF(D_I="SI",Datos!L17,Datos!L17+Datos!AF17)),IF(D_I="SI",Datos!L17,Datos!L17+Datos!AF17)," - ")</f>
        <v>71</v>
      </c>
      <c r="AB17" s="374">
        <f>IF(ISNUMBER(Datos!R17),Datos!R17," - ")</f>
        <v>8</v>
      </c>
      <c r="AC17" s="374">
        <f t="shared" si="8"/>
        <v>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3.0869565217391308</v>
      </c>
      <c r="AN17" s="267">
        <f>IF(ISNUMBER('Resol  Asuntos'!D17/NºAsuntos!G17),'Resol  Asuntos'!D17/NºAsuntos!G17," - ")</f>
        <v>0.10869565217391304</v>
      </c>
      <c r="AO17" s="268">
        <f>IF(ISNUMBER((NºAsuntos!C17+NºAsuntos!E17)/NºAsuntos!G17),(NºAsuntos!C17+NºAsuntos!E17)/NºAsuntos!G17," - ")</f>
        <v>2.4782608695652173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0.66666666666666663</v>
      </c>
      <c r="AN18" s="267">
        <f>IF(ISNUMBER('Resol  Asuntos'!D18/NºAsuntos!G18),'Resol  Asuntos'!D18/NºAsuntos!G18," - ")</f>
        <v>0.66666666666666663</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71</v>
      </c>
      <c r="G23" s="1163">
        <f>SUBTOTAL(9,G16:G22)</f>
        <v>70</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v>
      </c>
      <c r="X23" s="1164">
        <f t="shared" si="14"/>
        <v>3</v>
      </c>
      <c r="Y23" s="1165">
        <f t="shared" si="14"/>
        <v>52</v>
      </c>
      <c r="Z23" s="1165">
        <f t="shared" si="14"/>
        <v>0</v>
      </c>
      <c r="AA23" s="1165">
        <f t="shared" si="14"/>
        <v>72</v>
      </c>
      <c r="AB23" s="1165">
        <f t="shared" si="14"/>
        <v>8</v>
      </c>
      <c r="AC23" s="1165">
        <f t="shared" si="14"/>
        <v>80</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1.0208333333333333</v>
      </c>
      <c r="AM23" s="1171">
        <f>IF(ISNUMBER(((NºAsuntos!I23/NºAsuntos!G23)*11)/factor_trimestre),((NºAsuntos!I23/NºAsuntos!G23)*11)/factor_trimestre," - ")</f>
        <v>2.9387755102040818</v>
      </c>
      <c r="AN23" s="1172">
        <f>IF(ISNUMBER('Resol  Asuntos'!D23/NºAsuntos!G23),'Resol  Asuntos'!D23/NºAsuntos!G23," - ")</f>
        <v>0.14285714285714285</v>
      </c>
      <c r="AO23" s="1173">
        <f>IF(ISNUMBER((NºAsuntos!C23+NºAsuntos!E23)/NºAsuntos!G23),(NºAsuntos!C23+NºAsuntos!E23)/NºAsuntos!G23," - ")</f>
        <v>2.4081632653061225</v>
      </c>
      <c r="AP23" s="1174" t="str">
        <f t="shared" si="2"/>
        <v xml:space="preserve"> - </v>
      </c>
      <c r="AQ23" s="1174">
        <f>IF(ISNUMBER((H23-W23+K23)/(F23)),(H23-W23+K23)/(F23)," - ")</f>
        <v>-0.6901408450704225</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71</v>
      </c>
      <c r="G31" s="1118">
        <f t="shared" si="20"/>
        <v>70</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v>
      </c>
      <c r="X31" s="1118">
        <f t="shared" si="21"/>
        <v>20</v>
      </c>
      <c r="Y31" s="1125">
        <f t="shared" si="21"/>
        <v>69</v>
      </c>
      <c r="Z31" s="1125">
        <f t="shared" si="21"/>
        <v>0</v>
      </c>
      <c r="AA31" s="1125">
        <f t="shared" si="21"/>
        <v>72</v>
      </c>
      <c r="AB31" s="1125">
        <f t="shared" si="21"/>
        <v>426</v>
      </c>
      <c r="AC31" s="1125">
        <f t="shared" si="21"/>
        <v>80</v>
      </c>
      <c r="AD31" s="1125">
        <f t="shared" si="21"/>
        <v>0</v>
      </c>
      <c r="AE31" s="1127">
        <f t="shared" si="21"/>
        <v>0</v>
      </c>
      <c r="AF31" s="1128">
        <f t="shared" si="21"/>
        <v>0</v>
      </c>
      <c r="AG31" s="1129">
        <f t="shared" si="21"/>
        <v>0</v>
      </c>
      <c r="AH31" s="1127">
        <f t="shared" si="21"/>
        <v>0</v>
      </c>
      <c r="AI31" s="1117">
        <f t="shared" si="21"/>
        <v>14</v>
      </c>
      <c r="AJ31" s="1117">
        <f t="shared" si="21"/>
        <v>0</v>
      </c>
      <c r="AK31" s="1127">
        <f t="shared" si="21"/>
        <v>0</v>
      </c>
      <c r="AL31" s="1183">
        <f>IF(ISNUMBER(NºAsuntos!G31/NºAsuntos!E31),NºAsuntos!G31/NºAsuntos!E31," - ")</f>
        <v>0.93137254901960786</v>
      </c>
      <c r="AM31" s="1184">
        <f>IF(ISNUMBER(((NºAsuntos!I31/NºAsuntos!G31)*11)/factor_trimestre),((NºAsuntos!I31/NºAsuntos!G31)*11)/factor_trimestre," - ")</f>
        <v>4.4421052631578943</v>
      </c>
      <c r="AN31" s="1184">
        <f>IF(ISNUMBER('Resol  Asuntos'!D31/NºAsuntos!G31),'Resol  Asuntos'!D31/NºAsuntos!G31," - ")</f>
        <v>0.14736842105263157</v>
      </c>
      <c r="AO31" s="1185">
        <f>IF(ISNUMBER((NºAsuntos!C31+NºAsuntos!E31)/NºAsuntos!G31),(NºAsuntos!C31+NºAsuntos!E31)/NºAsuntos!G31," - ")</f>
        <v>3.1894736842105265</v>
      </c>
      <c r="AP31" s="1186" t="str">
        <f t="shared" si="2"/>
        <v xml:space="preserve"> - </v>
      </c>
      <c r="AQ31" s="1187">
        <f>IF(OR(ISNUMBER(FIND("01",Criterios!A8,1)),ISNUMBER(FIND("02",Criterios!A8,1)),ISNUMBER(FIND("03",Criterios!A8,1)),ISNUMBER(FIND("04",Criterios!A8,1))),(I31-W31+K31)/(F31-K31),(H31-W31+K31)/(F31-K31))</f>
        <v>-0.6901408450704225</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36.664242344096884</v>
      </c>
      <c r="G33" s="277">
        <f>IF(ISNUMBER(STDEV(G8:G30)),STDEV(G8:G30),"-")</f>
        <v>33.48631561299829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22.927421718690191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3.3380918415851206</v>
      </c>
      <c r="AJ33" s="276">
        <f t="shared" si="25"/>
        <v>0</v>
      </c>
      <c r="AK33" s="278">
        <f t="shared" si="25"/>
        <v>0</v>
      </c>
      <c r="AL33" s="273">
        <f t="shared" si="25"/>
        <v>0.26657381678296638</v>
      </c>
      <c r="AM33" s="274">
        <f t="shared" si="25"/>
        <v>2.2980735949770832</v>
      </c>
      <c r="AN33" s="274">
        <f t="shared" si="25"/>
        <v>0.23666801510816471</v>
      </c>
      <c r="AO33" s="275">
        <f t="shared" si="25"/>
        <v>1.1596979781044747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WUebdmR0Cx2RFXrfunMIfuy+vdLbp9jydbZ8CiLRrxjOHA/ZpDfACaEIkbu3tC0Sgkp9AZFNtN3XUX1kw1rtg==" saltValue="9GIr76QCPiwvK0iBRPVk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FREGENAL DE LA SIERRA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-0.36363636363636365</v>
      </c>
      <c r="I12" s="395">
        <f>IF(ISNUMBER((Tasas!C12-Datos!BE12)/Datos!BE12),(Tasas!C12-Datos!BE12)/Datos!BE12," - ")</f>
        <v>2.7391304347826047E-2</v>
      </c>
      <c r="J12" s="394">
        <f>IF(ISNUMBER((Tasas!D12-Datos!BF12)/Datos!BF12),(Tasas!D12-Datos!BF12)/Datos!BF12," - ")</f>
        <v>-0.5688405797101449</v>
      </c>
      <c r="K12" s="396">
        <f>IF(ISNUMBER((Tasas!E12-Datos!BG12)/Datos!BG12),(Tasas!E12-Datos!BG12)/Datos!BG12," - ")</f>
        <v>2.044127190136261E-2</v>
      </c>
      <c r="M12" t="e">
        <f>IF(Monitorios="SI",Datos!CE12,0)</f>
        <v>#REF!</v>
      </c>
      <c r="N12" t="e">
        <f>IF(Monitorios="SI",Datos!CF12,0)</f>
        <v>#REF!</v>
      </c>
      <c r="O12" t="e">
        <f>IF(Monitorios="SI",Datos!CG12,0)</f>
        <v>#REF!</v>
      </c>
      <c r="P12" t="e">
        <f>IF(Monitorios="SI",Datos!CH12,0)</f>
        <v>#REF!</v>
      </c>
      <c r="Q12">
        <f>IF(J_V="SI",0,Datos!AG12)</f>
        <v>3</v>
      </c>
      <c r="R12">
        <f>IF(J_V="SI",0,Datos!AH12)</f>
        <v>2</v>
      </c>
      <c r="S12">
        <f>IF(J_V="SI",0,Datos!AI12)</f>
        <v>3</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-0.36363636363636365</v>
      </c>
      <c r="I14" s="402">
        <f>IF(ISNUMBER((Tasas!C14-Datos!BE14)/Datos!BE14),(Tasas!C14-Datos!BE14)/Datos!BE14," - ")</f>
        <v>2.7391304347826047E-2</v>
      </c>
      <c r="J14" s="400">
        <f>IF(ISNUMBER((Tasas!D14-Datos!BF14)/Datos!BF14),(Tasas!D14-Datos!BF14)/Datos!BF14," - ")</f>
        <v>-0.5688405797101449</v>
      </c>
      <c r="K14" s="403">
        <f>IF(ISNUMBER((Tasas!E14-Datos!BG14)/Datos!BG14),(Tasas!E14-Datos!BG14)/Datos!BG14," - ")</f>
        <v>2.044127190136261E-2</v>
      </c>
      <c r="M14" t="e">
        <f>IF(Monitorios="SI",Datos!CE14,0)</f>
        <v>#REF!</v>
      </c>
      <c r="N14" t="e">
        <f>IF(Monitorios="SI",Datos!CF14,0)</f>
        <v>#REF!</v>
      </c>
      <c r="O14" t="e">
        <f>IF(Monitorios="SI",Datos!CG14,0)</f>
        <v>#REF!</v>
      </c>
      <c r="P14" t="e">
        <f>IF(Monitorios="SI",Datos!CH14,0)</f>
        <v>#REF!</v>
      </c>
      <c r="Q14">
        <f>IF(J_V="SI",0,Datos!AG14)</f>
        <v>3</v>
      </c>
      <c r="R14">
        <f>IF(J_V="SI",0,Datos!AH14)</f>
        <v>2</v>
      </c>
      <c r="S14">
        <f>IF(J_V="SI",0,Datos!AI14)</f>
        <v>3</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0.38775510204081631</v>
      </c>
      <c r="E17" s="393">
        <f>IF(ISNUMBER(
   IF(D_I="SI",(Datos!J17-Datos!T17)/Datos!T17,(Datos!J17+Datos!AD17-(Datos!T17+Datos!AL17))/(Datos!T17+Datos!AL17))
     ),IF(D_I="SI",(Datos!J17-Datos!T17)/Datos!T17,(Datos!J17+Datos!AD17-(Datos!T17+Datos!AL17))/(Datos!T17+Datos!AL17))," - ")</f>
        <v>-0.38666666666666666</v>
      </c>
      <c r="F17" s="393">
        <f>IF(ISNUMBER(
   IF(D_I="SI",(Datos!K17-Datos!U17)/Datos!U17,(Datos!K17+Datos!AE17-(Datos!U17+Datos!AM17))/(Datos!U17+Datos!AM17))
     ),IF(D_I="SI",(Datos!K17-Datos!U17)/Datos!U17,(Datos!K17+Datos!AE17-(Datos!U17+Datos!AM17))/(Datos!U17+Datos!AM17))," - ")</f>
        <v>-0.31343283582089554</v>
      </c>
      <c r="G17" s="394">
        <f>IF(ISNUMBER(
   IF(D_I="SI",(Datos!L17-Datos!V17)/Datos!V17,(Datos!L17+Datos!AF17-(Datos!V17+Datos!AN17))/(Datos!V17+Datos!AN17))
     ),IF(D_I="SI",(Datos!L17-Datos!V17)/Datos!V17,(Datos!L17+Datos!AF17-(Datos!V17+Datos!AN17))/(Datos!V17+Datos!AN17))," - ")</f>
        <v>0.14516129032258066</v>
      </c>
      <c r="H17" s="244">
        <f>IF(ISNUMBER((Datos!M17-Datos!W17)/Datos!W17),(Datos!M17-Datos!W17)/Datos!W17," - ")</f>
        <v>-0.16666666666666666</v>
      </c>
      <c r="I17" s="395">
        <f>IF(ISNUMBER((Tasas!C17-Datos!BE17)/Datos!BE17),(Tasas!C17-Datos!BE17)/Datos!BE17," - ")</f>
        <v>0.66795231416549783</v>
      </c>
      <c r="J17" s="394">
        <f>IF(ISNUMBER((Tasas!D17-Datos!BF17)/Datos!BF17),(Tasas!D17-Datos!BF17)/Datos!BF17," - ")</f>
        <v>0.21376811594202902</v>
      </c>
      <c r="K17" s="396">
        <f>IF(ISNUMBER((Tasas!E17-Datos!BG17)/Datos!BG17),(Tasas!E17-Datos!BG17)/Datos!BG17," - ")</f>
        <v>0.33906030855539965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-0.77777777777777779</v>
      </c>
      <c r="E18" s="393">
        <f>IF(ISNUMBER(
   IF(D_I="SI",(Datos!J18-Datos!T18)/Datos!T18,(Datos!J18+Datos!AD18-(Datos!T18+Datos!AL18))/(Datos!T18+Datos!AL18))
     ),IF(D_I="SI",(Datos!J18-Datos!T18)/Datos!T18,(Datos!J18+Datos!AD18-(Datos!T18+Datos!AL18))/(Datos!T18+Datos!AL18))," - ")</f>
        <v>-0.83333333333333337</v>
      </c>
      <c r="F18" s="393">
        <f>IF(ISNUMBER(
   IF(D_I="SI",(Datos!K18-Datos!U18)/Datos!U18,(Datos!K18+Datos!AE18-(Datos!U18+Datos!AM18))/(Datos!U18+Datos!AM18))
     ),IF(D_I="SI",(Datos!K18-Datos!U18)/Datos!U18,(Datos!K18+Datos!AE18-(Datos!U18+Datos!AM18))/(Datos!U18+Datos!AM18))," - ")</f>
        <v>-0.72727272727272729</v>
      </c>
      <c r="G18" s="394">
        <f>IF(ISNUMBER(
   IF(D_I="SI",(Datos!L18-Datos!V18)/Datos!V18,(Datos!L18+Datos!AF18-(Datos!V18+Datos!AN18))/(Datos!V18+Datos!AN18))
     ),IF(D_I="SI",(Datos!L18-Datos!V18)/Datos!V18,(Datos!L18+Datos!AF18-(Datos!V18+Datos!AN18))/(Datos!V18+Datos!AN18))," - ")</f>
        <v>-0.9</v>
      </c>
      <c r="H18" s="244">
        <f>IF(ISNUMBER((Datos!M18-Datos!W18)/Datos!W18),(Datos!M18-Datos!W18)/Datos!W18," - ")</f>
        <v>-0.33333333333333331</v>
      </c>
      <c r="I18" s="395">
        <f>IF(ISNUMBER((Tasas!C18-Datos!BE18)/Datos!BE18),(Tasas!C18-Datos!BE18)/Datos!BE18," - ")</f>
        <v>-0.6333333333333333</v>
      </c>
      <c r="J18" s="394">
        <f>IF(ISNUMBER((Tasas!D18-Datos!BF18)/Datos!BF18),(Tasas!D18-Datos!BF18)/Datos!BF18," - ")</f>
        <v>1.4444444444444444</v>
      </c>
      <c r="K18" s="396">
        <f>IF(ISNUMBER((Tasas!E18-Datos!BG18)/Datos!BG18),(Tasas!E18-Datos!BG18)/Datos!BG18," - ")</f>
        <v>-0.30158730158730168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0.20689655172413793</v>
      </c>
      <c r="E23" s="399">
        <f>IF(ISNUMBER(
   IF(D_I="SI",(Datos!J23-Datos!T23)/Datos!T23,(Datos!J23+Datos!AD23-(Datos!T23+Datos!AL23))/(Datos!T23+Datos!AL23))
     ),IF(D_I="SI",(Datos!J23-Datos!T23)/Datos!T23,(Datos!J23+Datos!AD23-(Datos!T23+Datos!AL23))/(Datos!T23+Datos!AL23))," - ")</f>
        <v>-0.44827586206896552</v>
      </c>
      <c r="F23" s="399">
        <f>IF(ISNUMBER(
   IF(D_I="SI",(Datos!K23-Datos!U23)/Datos!U23,(Datos!K23+Datos!AE23-(Datos!U23+Datos!AM23))/(Datos!U23+Datos!AM23))
     ),IF(D_I="SI",(Datos!K23-Datos!U23)/Datos!U23,(Datos!K23+Datos!AE23-(Datos!U23+Datos!AM23))/(Datos!U23+Datos!AM23))," - ")</f>
        <v>-0.37179487179487181</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-0.22222222222222221</v>
      </c>
      <c r="I23" s="402">
        <f>IF(ISNUMBER((Tasas!C23-Datos!BE23)/Datos!BE23),(Tasas!C23-Datos!BE23)/Datos!BE23," - ")</f>
        <v>0.59183673469387754</v>
      </c>
      <c r="J23" s="400">
        <f>IF(ISNUMBER((Tasas!D23-Datos!BF23)/Datos!BF23),(Tasas!D23-Datos!BF23)/Datos!BF23," - ")</f>
        <v>0.23809523809523797</v>
      </c>
      <c r="K23" s="403">
        <f>IF(ISNUMBER((Tasas!E23-Datos!BG23)/Datos!BG23),(Tasas!E23-Datos!BG23)/Datos!BG23," - ")</f>
        <v>0.29542575650950031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0.39583333333333331</v>
      </c>
      <c r="E31" s="409">
        <f>IF(ISNUMBER(
   IF(J_V="SI",(Datos!J31-Datos!T31)/Datos!T31,(Datos!J31+Datos!Z31-(Datos!T31+Datos!AH31))/(Datos!T31+Datos!AH31))
     ),IF(J_V="SI",(Datos!J31-Datos!T31)/Datos!T31,(Datos!J31+Datos!Z31-(Datos!T31+Datos!AH31))/(Datos!T31+Datos!AH31))," - ")</f>
        <v>-0.24444444444444444</v>
      </c>
      <c r="F31" s="409">
        <f>IF(ISNUMBER(
   IF(J_V="SI",(Datos!K31-Datos!U31)/Datos!U31,(Datos!K31+Datos!AA31-(Datos!U31+Datos!AI31))/(Datos!U31+Datos!AI31))
     ),IF(J_V="SI",(Datos!K31-Datos!U31)/Datos!U31,(Datos!K31+Datos!AA31-(Datos!U31+Datos!AI31))/(Datos!U31+Datos!AI31))," - ")</f>
        <v>-0.15178571428571427</v>
      </c>
      <c r="G31" s="410">
        <f>IF(ISNUMBER(
   IF(J_V="SI",(Datos!L31-Datos!V31)/Datos!V31,(Datos!L31+Datos!AB31-(Datos!V31+Datos!AJ31))/(Datos!V31+Datos!AJ31))
     ),IF(J_V="SI",(Datos!L31-Datos!V31)/Datos!V31,(Datos!L31+Datos!AB31-(Datos!V31+Datos!AJ31))/(Datos!V31+Datos!AJ31))," - ")</f>
        <v>0.22674418604651161</v>
      </c>
      <c r="H31" s="411">
        <f>IF(ISNUMBER((Datos!M31-Datos!W31)/Datos!W31),(Datos!M31-Datos!W31)/Datos!W31," - ")</f>
        <v>-0.3</v>
      </c>
      <c r="I31" s="408">
        <f>IF(ISNUMBER((Tasas!C31-Datos!BE31)/Datos!BE31),(Tasas!C31-Datos!BE31)/Datos!BE31," - ")</f>
        <v>0.44626682986536087</v>
      </c>
      <c r="J31" s="409">
        <f>IF(ISNUMBER((Tasas!D31-Datos!BF31)/Datos!BF31),(Tasas!D31-Datos!BF31)/Datos!BF31," - ")</f>
        <v>-0.21403508771929833</v>
      </c>
      <c r="K31" s="410">
        <f>IF(ISNUMBER((Tasas!E31-Datos!BG31)/Datos!BG31),(Tasas!E31-Datos!BG31)/Datos!BG31," - ")</f>
        <v>0.28036219581211108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0.6272639322673409</v>
      </c>
      <c r="E33" s="303">
        <f t="shared" si="1"/>
        <v>0.24206612741347466</v>
      </c>
      <c r="F33" s="303">
        <f t="shared" si="1"/>
        <v>0.22399184833940816</v>
      </c>
      <c r="G33" s="304">
        <f t="shared" si="1"/>
        <v>0.56619106359909965</v>
      </c>
      <c r="H33" s="310">
        <f t="shared" si="1"/>
        <v>9.0176622709760318E-2</v>
      </c>
      <c r="I33" s="302">
        <f t="shared" si="1"/>
        <v>0.52588629043580803</v>
      </c>
      <c r="J33" s="303">
        <f t="shared" si="1"/>
        <v>0.82475181685684607</v>
      </c>
      <c r="K33" s="304">
        <f t="shared" si="1"/>
        <v>0.25791780133651926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AFX1TElqkEWoMVtKNIxeBxmunAst0PpklpoBV+osWruyOmw9fHXKMA0pNFWny32BTvlW70zAEVsSVDK3Y6qUw==" saltValue="sl1g8Qp4+1jH9WmvAhhf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